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ww2mstdk_Udgiv\publikationer\2015\"/>
    </mc:Choice>
  </mc:AlternateContent>
  <bookViews>
    <workbookView xWindow="-15" yWindow="-15" windowWidth="23835" windowHeight="11685" activeTab="2"/>
    <workbookView xWindow="240" yWindow="45" windowWidth="24795" windowHeight="12330" activeTab="2"/>
    <workbookView xWindow="480" yWindow="330" windowWidth="24555" windowHeight="12045"/>
  </bookViews>
  <sheets>
    <sheet name="Indtastning" sheetId="3" r:id="rId1"/>
    <sheet name="Prisberegning" sheetId="6" r:id="rId2"/>
    <sheet name="Priser" sheetId="4" r:id="rId3"/>
    <sheet name="Indstillinger" sheetId="5" r:id="rId4"/>
  </sheets>
  <calcPr calcId="162913"/>
</workbook>
</file>

<file path=xl/calcChain.xml><?xml version="1.0" encoding="utf-8"?>
<calcChain xmlns="http://schemas.openxmlformats.org/spreadsheetml/2006/main">
  <c r="J4" i="6" l="1"/>
  <c r="J8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" i="6"/>
  <c r="H10" i="6"/>
  <c r="J10" i="6" s="1"/>
  <c r="H5" i="6"/>
  <c r="J5" i="6" s="1"/>
  <c r="H6" i="6"/>
  <c r="J6" i="6" s="1"/>
  <c r="H9" i="6"/>
  <c r="J9" i="6" s="1"/>
  <c r="H11" i="6"/>
  <c r="J11" i="6" s="1"/>
  <c r="H12" i="6"/>
  <c r="J12" i="6" s="1"/>
  <c r="H13" i="6"/>
  <c r="J13" i="6" s="1"/>
  <c r="D38" i="4"/>
  <c r="C18" i="6" l="1"/>
  <c r="C17" i="6"/>
  <c r="C29" i="6" l="1"/>
  <c r="E29" i="6" s="1"/>
  <c r="C28" i="6"/>
  <c r="E28" i="6" s="1"/>
  <c r="C26" i="6"/>
  <c r="E26" i="6" s="1"/>
  <c r="C25" i="6"/>
  <c r="E25" i="6" s="1"/>
  <c r="G25" i="6" s="1"/>
  <c r="C24" i="6"/>
  <c r="E24" i="6" s="1"/>
  <c r="G24" i="6" s="1"/>
  <c r="C23" i="6"/>
  <c r="E23" i="6" s="1"/>
  <c r="G23" i="6" s="1"/>
  <c r="C22" i="6"/>
  <c r="E22" i="6" s="1"/>
  <c r="G22" i="6" s="1"/>
  <c r="C21" i="6"/>
  <c r="E21" i="6" s="1"/>
  <c r="G21" i="6" s="1"/>
  <c r="C20" i="6"/>
  <c r="E20" i="6" s="1"/>
  <c r="G20" i="6" s="1"/>
  <c r="C16" i="6"/>
  <c r="E16" i="6" s="1"/>
  <c r="C15" i="6"/>
  <c r="E15" i="6" s="1"/>
  <c r="E8" i="6"/>
  <c r="E4" i="6"/>
  <c r="C6" i="6" l="1"/>
  <c r="E6" i="6" s="1"/>
  <c r="I34" i="6"/>
  <c r="F34" i="6"/>
  <c r="G26" i="6"/>
  <c r="E18" i="6"/>
  <c r="G18" i="6" s="1"/>
  <c r="G33" i="6"/>
  <c r="G32" i="6"/>
  <c r="G31" i="6"/>
  <c r="G30" i="6"/>
  <c r="G29" i="6"/>
  <c r="G28" i="6"/>
  <c r="E27" i="6"/>
  <c r="G27" i="6" s="1"/>
  <c r="C3" i="6"/>
  <c r="E3" i="6" s="1"/>
  <c r="C19" i="6"/>
  <c r="E19" i="6" s="1"/>
  <c r="G19" i="6" s="1"/>
  <c r="E17" i="6"/>
  <c r="G17" i="6" s="1"/>
  <c r="E14" i="6"/>
  <c r="G14" i="6" s="1"/>
  <c r="C14" i="6"/>
  <c r="G16" i="6" l="1"/>
  <c r="G15" i="6"/>
  <c r="C10" i="6"/>
  <c r="E10" i="6" s="1"/>
  <c r="G10" i="6" s="1"/>
  <c r="C11" i="6"/>
  <c r="E11" i="6" s="1"/>
  <c r="G11" i="6" s="1"/>
  <c r="C12" i="6"/>
  <c r="C13" i="6"/>
  <c r="E13" i="6" s="1"/>
  <c r="G13" i="6" s="1"/>
  <c r="C9" i="6"/>
  <c r="G6" i="6"/>
  <c r="G4" i="6"/>
  <c r="G8" i="6"/>
  <c r="G3" i="6"/>
  <c r="E12" i="6" l="1"/>
  <c r="G12" i="6" s="1"/>
  <c r="E9" i="6"/>
  <c r="G9" i="6" s="1"/>
  <c r="C15" i="3"/>
  <c r="C18" i="3" s="1"/>
  <c r="H49" i="3"/>
  <c r="H46" i="3"/>
  <c r="H47" i="3" s="1"/>
  <c r="H42" i="3"/>
  <c r="H43" i="3" s="1"/>
  <c r="H37" i="3" l="1"/>
  <c r="H50" i="3" s="1"/>
  <c r="H35" i="3"/>
  <c r="H38" i="3" l="1"/>
  <c r="H51" i="3" s="1"/>
  <c r="H3" i="3" s="1"/>
  <c r="H55" i="3" l="1"/>
  <c r="H7" i="6" s="1"/>
  <c r="J7" i="6" s="1"/>
  <c r="C5" i="4"/>
  <c r="E5" i="6" s="1"/>
  <c r="G5" i="6" s="1"/>
  <c r="C7" i="6" l="1"/>
  <c r="E7" i="6" s="1"/>
  <c r="G7" i="6" s="1"/>
  <c r="G34" i="6" s="1"/>
  <c r="C3" i="3" s="1"/>
  <c r="C2" i="3" s="1"/>
  <c r="E34" i="6" l="1"/>
  <c r="J34" i="6"/>
  <c r="C4" i="3" s="1"/>
  <c r="H34" i="6"/>
</calcChain>
</file>

<file path=xl/comments1.xml><?xml version="1.0" encoding="utf-8"?>
<comments xmlns="http://schemas.openxmlformats.org/spreadsheetml/2006/main">
  <authors>
    <author>Annette Raben</author>
  </authors>
  <commentList>
    <comment ref="C38" authorId="0" shapeId="0">
      <text>
        <r>
          <rPr>
            <b/>
            <sz val="9"/>
            <color indexed="81"/>
            <rFont val="Tahoma"/>
            <charset val="1"/>
          </rPr>
          <t>Indsæt takst for afledning af sekundavand i dit forsyningsområdet. Er der ingen særskilt takst herfor, skal du indsætte taksten for spildevand i dit forsyningsområde.</t>
        </r>
      </text>
    </comment>
  </commentList>
</comments>
</file>

<file path=xl/comments2.xml><?xml version="1.0" encoding="utf-8"?>
<comments xmlns="http://schemas.openxmlformats.org/spreadsheetml/2006/main">
  <authors>
    <author>Annette Raben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>Ved tankstørrelser over 20m3: indtast egen pris i kolonne F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Hvis vandet, der UV behandles, har høj turbiditet/uklarhed, bør prisen fordobles ved manuel indtastning i kolonne F</t>
        </r>
      </text>
    </comment>
  </commentList>
</comments>
</file>

<file path=xl/comments3.xml><?xml version="1.0" encoding="utf-8"?>
<comments xmlns="http://schemas.openxmlformats.org/spreadsheetml/2006/main">
  <authors>
    <author>Annette Raben</author>
  </authors>
  <commentList>
    <comment ref="D38" authorId="0" shapeId="0">
      <text>
        <r>
          <rPr>
            <b/>
            <sz val="9"/>
            <color indexed="81"/>
            <rFont val="Tahoma"/>
            <charset val="1"/>
          </rPr>
          <t>40 l drikkevand pr. m3 + 2 kr/m3 til salt</t>
        </r>
      </text>
    </comment>
  </commentList>
</comments>
</file>

<file path=xl/sharedStrings.xml><?xml version="1.0" encoding="utf-8"?>
<sst xmlns="http://schemas.openxmlformats.org/spreadsheetml/2006/main" count="342" uniqueCount="202">
  <si>
    <t>Kr.</t>
  </si>
  <si>
    <t>kr/kwh</t>
  </si>
  <si>
    <t>m3/år</t>
  </si>
  <si>
    <t>kr/m3</t>
  </si>
  <si>
    <t>%</t>
  </si>
  <si>
    <t>Ventiler</t>
  </si>
  <si>
    <t>Enhed</t>
  </si>
  <si>
    <t>Vandmålere</t>
  </si>
  <si>
    <t>Råvandsstation</t>
  </si>
  <si>
    <t>Boring</t>
  </si>
  <si>
    <t>Pr. m</t>
  </si>
  <si>
    <t>Pr stk</t>
  </si>
  <si>
    <t>Råvandsledning</t>
  </si>
  <si>
    <t>Anden vandbehandling</t>
  </si>
  <si>
    <t>kr</t>
  </si>
  <si>
    <t>kr pr. m</t>
  </si>
  <si>
    <t>Tilbagestrømningssikring</t>
  </si>
  <si>
    <t>kr pr. stk</t>
  </si>
  <si>
    <t>Nye kloakledninger i jord</t>
  </si>
  <si>
    <t>kr pr m</t>
  </si>
  <si>
    <t>Tappesteder til sekundavand</t>
  </si>
  <si>
    <t>kr pr stk</t>
  </si>
  <si>
    <t>Påfyldningsenhed til drikkevand (back up)</t>
  </si>
  <si>
    <t>Faldstammer DN 100</t>
  </si>
  <si>
    <t>Vandrette afløbsledninger ø70</t>
  </si>
  <si>
    <t>Genbrugsvand stigestreng ø28</t>
  </si>
  <si>
    <t>Regnvands- eller lagertank 2 m3</t>
  </si>
  <si>
    <t>Cyklonfilter ø110</t>
  </si>
  <si>
    <t>El-installation</t>
  </si>
  <si>
    <t>Grundvandssænkning og dræn</t>
  </si>
  <si>
    <t>Ferskt overfladevand</t>
  </si>
  <si>
    <t>Salt overfladevand</t>
  </si>
  <si>
    <t>Regnbetingede overløb fra regnvandssystem</t>
  </si>
  <si>
    <t>Renset spildevand</t>
  </si>
  <si>
    <t>Proces-spildevand</t>
  </si>
  <si>
    <t>Afværgepumpning og forurenede boringer</t>
  </si>
  <si>
    <t>Afstrømmet vand fra befæstede arealer</t>
  </si>
  <si>
    <t>Vandkilde</t>
  </si>
  <si>
    <t>Andet</t>
  </si>
  <si>
    <t>Antal boligenheder (stk):</t>
  </si>
  <si>
    <t>Nybyggeri af byområde/bykvarter med bolig og/eller erhverv</t>
  </si>
  <si>
    <t>Etagebyggeri til boligformål (eksisterende byggeri)</t>
  </si>
  <si>
    <t>Parcelhuse til boligformål (eksisterende byggeri)</t>
  </si>
  <si>
    <t>Erhvervsvirksomhed (eksisterende byggeri)</t>
  </si>
  <si>
    <t>Institutioner og skoler (eksisterende byggeri)</t>
  </si>
  <si>
    <t>Etagebyggeri til boligformål (nybyggeri)</t>
  </si>
  <si>
    <t>Parcelhuse til boligformål (nybyggeri)</t>
  </si>
  <si>
    <t>Erhvervsvirksomhed (nybyggeri)</t>
  </si>
  <si>
    <t>Institutioner og skoler (nybyggeri)</t>
  </si>
  <si>
    <t>Antal stikledninger (stk)</t>
  </si>
  <si>
    <t>Takster og tilskud i dit forsyningsområde</t>
  </si>
  <si>
    <t>Takst for drikkevand inkl. moms og afgifter</t>
  </si>
  <si>
    <t>Takst for afledning af spildevand inkl. moms og afgifter</t>
  </si>
  <si>
    <t>Tilskud til anlægget</t>
  </si>
  <si>
    <t>Nuværende forbrug af drikkevand (uden brug af sekundavand)</t>
  </si>
  <si>
    <t>Vandforbrug før etablering af sekundavandsanlæg (eksisterende byggeri)</t>
  </si>
  <si>
    <t>Pris pr. kWh</t>
  </si>
  <si>
    <t>Angiv længde på ledning til vandindtag (m)</t>
  </si>
  <si>
    <r>
      <t>opsamlet vandmængde: m</t>
    </r>
    <r>
      <rPr>
        <vertAlign val="superscript"/>
        <sz val="9"/>
        <color theme="0"/>
        <rFont val="Verdana"/>
        <family val="2"/>
      </rPr>
      <t>3</t>
    </r>
    <r>
      <rPr>
        <sz val="9"/>
        <color theme="0"/>
        <rFont val="Verdana"/>
        <family val="2"/>
      </rPr>
      <t>/år</t>
    </r>
  </si>
  <si>
    <t>Hvis der skal etableres ny boring, angiv boringens dybde (m)</t>
  </si>
  <si>
    <t>UV</t>
  </si>
  <si>
    <t>Aktivt kul</t>
  </si>
  <si>
    <t>Antal enheder/kolonner (stk)</t>
  </si>
  <si>
    <t>Sandfiltrering</t>
  </si>
  <si>
    <t>Iltning</t>
  </si>
  <si>
    <t>Omvendt osmose</t>
  </si>
  <si>
    <t>Dykpumpe &amp; vandmåler</t>
  </si>
  <si>
    <t>kr/m</t>
  </si>
  <si>
    <t>kr/stk</t>
  </si>
  <si>
    <t>kr. pt. stk</t>
  </si>
  <si>
    <t>Anlægselement</t>
  </si>
  <si>
    <t>Anlægspris</t>
  </si>
  <si>
    <t>kr/kolonne</t>
  </si>
  <si>
    <t>Tilbagebetalingstid</t>
  </si>
  <si>
    <t>Anlægspris, groft estimat</t>
  </si>
  <si>
    <t>Årlige driftsudgifter, groft estimat</t>
  </si>
  <si>
    <t>Indtast nedenfor grundlæggende oplysninger om det påtænkte anlæg til genbrug af vand/brug af sekundavand</t>
  </si>
  <si>
    <t>år</t>
  </si>
  <si>
    <t>kr/år</t>
  </si>
  <si>
    <t>Økonomiske overslagsberegninger for anlæg til genbrug af vand/brug af sekundavand</t>
  </si>
  <si>
    <t>Pumpe</t>
  </si>
  <si>
    <t>Ledning til indtag af overfladevand inkl. filter</t>
  </si>
  <si>
    <t>Hældningsgrad:</t>
  </si>
  <si>
    <t>Afløbskoefficient:</t>
  </si>
  <si>
    <t>Hældning:</t>
  </si>
  <si>
    <t>TAGE</t>
  </si>
  <si>
    <t>Vælg hældningsgrad på tag                                                               (NB: Tagtyper som græs og strå er ikke anvendelige)</t>
  </si>
  <si>
    <t>Indstilling af skyllemængde i toiletter.</t>
  </si>
  <si>
    <t>Almindeligt toilet:</t>
  </si>
  <si>
    <t>Liter/skyl</t>
  </si>
  <si>
    <t>Lavskylstoilet:</t>
  </si>
  <si>
    <t>Lille mængde:</t>
  </si>
  <si>
    <t>Stor mængde:</t>
  </si>
  <si>
    <t>Antal daglige toiletbesøg:</t>
  </si>
  <si>
    <t>Privat bolig (Stor mængde):</t>
  </si>
  <si>
    <t>Besøg/døgn/PE</t>
  </si>
  <si>
    <t>Privat bolig (Lille mængde):</t>
  </si>
  <si>
    <t>Firma (heltid) (stor mængde):</t>
  </si>
  <si>
    <t>Firma (heltid) (lille mængde):</t>
  </si>
  <si>
    <t>Firma (halvtid) (stor mængde):</t>
  </si>
  <si>
    <t>Firma (halvtid) (lille mængde):</t>
  </si>
  <si>
    <t>Årlig gennemsnitlig nedbør</t>
  </si>
  <si>
    <t>mm/år</t>
  </si>
  <si>
    <t xml:space="preserve">Angiv årlig gennemsnitlig nedbør i dit område.                                                                                     Landsgennemsnittet udgør 745 mm/år </t>
  </si>
  <si>
    <t>Estimeret forbrug af sekundavand</t>
  </si>
  <si>
    <t>Til toiletskyl:</t>
  </si>
  <si>
    <t>Privat bolig</t>
  </si>
  <si>
    <t>Firma (heltid)</t>
  </si>
  <si>
    <t>Firma (halvtid)</t>
  </si>
  <si>
    <t>Estimeret vandforbrug til toiletskyl</t>
  </si>
  <si>
    <t>liter/dag</t>
  </si>
  <si>
    <t>Vælg fra listen</t>
  </si>
  <si>
    <t>Angiv bygningens anvendelse</t>
  </si>
  <si>
    <t>Antal personer/ansatte i alt</t>
  </si>
  <si>
    <t>Brug af vandsparetoiletter</t>
  </si>
  <si>
    <t>Brug af alm. toiletter                                        (ingen vandsparer)</t>
  </si>
  <si>
    <t>Til tøjvask</t>
  </si>
  <si>
    <t>Stk.</t>
  </si>
  <si>
    <t>Liter</t>
  </si>
  <si>
    <t>Antal vaskemaskiner</t>
  </si>
  <si>
    <t>Vandforbrug pr. vask</t>
  </si>
  <si>
    <t>Estimeret vandforbrug til tøjvask</t>
  </si>
  <si>
    <t>Taphane</t>
  </si>
  <si>
    <t>Estimeret vandforbrug pr. taphane</t>
  </si>
  <si>
    <t>Antal taphaner</t>
  </si>
  <si>
    <t>Estimeret vandforbrug via taphaner</t>
  </si>
  <si>
    <t>Andet forbrug af genbrugt vand/sekundavand</t>
  </si>
  <si>
    <t>Antal vaske pr. dag pr. maskine:</t>
  </si>
  <si>
    <t>Stk./dag/stk.</t>
  </si>
  <si>
    <t>Filterreduktion</t>
  </si>
  <si>
    <t>Tank til opbevaring af sekundavand</t>
  </si>
  <si>
    <t>dage</t>
  </si>
  <si>
    <t>Min. tankvolumen</t>
  </si>
  <si>
    <t>m3</t>
  </si>
  <si>
    <t>Opmagasineringsbehov el. maks opbevaringstid</t>
  </si>
  <si>
    <t>Indtag til overfladevand</t>
  </si>
  <si>
    <t>Vandmåler</t>
  </si>
  <si>
    <t>Faldstammer i bygninger</t>
  </si>
  <si>
    <t>Vandrette afløbsledninger i bygninger</t>
  </si>
  <si>
    <t>Nye tapsteder til genbrugsvand</t>
  </si>
  <si>
    <t>Sum fra faneblad "indtastning"</t>
  </si>
  <si>
    <t>Indtast (ekstra) antal</t>
  </si>
  <si>
    <t>Anlægspris kr.</t>
  </si>
  <si>
    <t>Stikledning inkl. anboring og ventil</t>
  </si>
  <si>
    <t>Vandledning i jord</t>
  </si>
  <si>
    <t>Antal stigstrenge/boligenhed (stk):</t>
  </si>
  <si>
    <t>stk</t>
  </si>
  <si>
    <t xml:space="preserve">Stk. </t>
  </si>
  <si>
    <t>Meter</t>
  </si>
  <si>
    <t>Stk</t>
  </si>
  <si>
    <t>Sum</t>
  </si>
  <si>
    <t>SUM</t>
  </si>
  <si>
    <t>Kr/stk</t>
  </si>
  <si>
    <t>Tankbeholder &gt; 20 m3</t>
  </si>
  <si>
    <t>Filter</t>
  </si>
  <si>
    <t>Indtast egne tillæg til anlægspriser her</t>
  </si>
  <si>
    <t>Total, anlægsudgifter</t>
  </si>
  <si>
    <t>Total, drifts-omkostninger kr/år</t>
  </si>
  <si>
    <t>ANLÆGSOMKOSTNINGER</t>
  </si>
  <si>
    <t>DRIFTSOMKOSTNINGER</t>
  </si>
  <si>
    <t>Indtast egne tillæg til drifts-omkostninger her</t>
  </si>
  <si>
    <t xml:space="preserve">Anlægspris kr. </t>
  </si>
  <si>
    <t>Sandfiltrering inkl. iltning og returskylningsanlæg</t>
  </si>
  <si>
    <t>Blødgøringsanlæg</t>
  </si>
  <si>
    <t>Antal etager (stk):</t>
  </si>
  <si>
    <t>Samlet potentielt forbrug af genbrugt vand/sekundavand</t>
  </si>
  <si>
    <t>Indsæt kun oplysninger i de gule felter, der er relevante for dit anlæg</t>
  </si>
  <si>
    <t>Gns. længde på jordledning (m)</t>
  </si>
  <si>
    <t>Etagehøjde (m)</t>
  </si>
  <si>
    <t>Oplysninger om bygninger, sekundavandet skal bruges i</t>
  </si>
  <si>
    <t>Afstand mellem vandkilde og ejendom, hvor sekundavandet skal anvendes (m nedgravet vandledning)</t>
  </si>
  <si>
    <t>Opsamlet regnvand fra tage (angiv tagareal i m2)</t>
  </si>
  <si>
    <t>Tankbeholder 0-5 m3 inkl. filter, pumpe og styring, excl. husinstallation</t>
  </si>
  <si>
    <t>Tankbeholder &lt;5-10 m3 inkl. filter, pumpe og styring, excl. husinstallation</t>
  </si>
  <si>
    <t>Tankbeholder &lt;10-20 m3 inkl. filter, pumpe og styring, excl. husinstallation</t>
  </si>
  <si>
    <t>Vandinstallationer, fordelingsrør ø25, eksisterende byggeri</t>
  </si>
  <si>
    <t>Vandinstallationer, fordelingsrør ø25, nybyggeri</t>
  </si>
  <si>
    <t>Vandinstallationer, fordelingsrør ø63, eksisterende byggeri</t>
  </si>
  <si>
    <t>Vandinstallationer, fordelingsrør ø63, nybyggeri</t>
  </si>
  <si>
    <t>Vandinstallationer, fordelingsrør ø75, eksisterende byggeri</t>
  </si>
  <si>
    <t>Vandinstallationer, fordelingsrør ø75, nybyggeri</t>
  </si>
  <si>
    <t>Pumpe &amp; vandmåler til boring</t>
  </si>
  <si>
    <t>#</t>
  </si>
  <si>
    <r>
      <t xml:space="preserve">Vandbehandling                                                                           </t>
    </r>
    <r>
      <rPr>
        <sz val="9"/>
        <color theme="0"/>
        <rFont val="Verdana"/>
        <family val="2"/>
      </rPr>
      <t xml:space="preserve">   (NB: Priser til vandbehandling svarer til flow på ca. 8-10 m3/t)</t>
    </r>
  </si>
  <si>
    <t>Vandledninger, nedgravet i jord</t>
  </si>
  <si>
    <t>Stik</t>
  </si>
  <si>
    <t>Gns.længde af vandrette vandrør til sekundavand pr. boligenhed (m)</t>
  </si>
  <si>
    <t>Total antal meter vandrette ledninger til sekundavand i bygninger (m)</t>
  </si>
  <si>
    <t>Total antal meter lodrette ledninger til sekundavand i bygninger (stigstrenge)</t>
  </si>
  <si>
    <t>Stigestreng ø28</t>
  </si>
  <si>
    <t>Antal meter vandrette afløbsledninger til sekundavand i bygning (m)</t>
  </si>
  <si>
    <t>Indsæt antal i gule felter, hvis priser for de pågældende komponenter skal indgå i prisberegningen</t>
  </si>
  <si>
    <t>Meter vandrette ledninger til sekundavand i bygning (m)</t>
  </si>
  <si>
    <t>Total opsamlet vandmængde pr. år</t>
  </si>
  <si>
    <t>Prs.</t>
  </si>
  <si>
    <t>Takst for afledning af sekundavand inkl. moms og afgifter</t>
  </si>
  <si>
    <t>Elforbrug kWh/m3</t>
  </si>
  <si>
    <t>Driftsomkostninger kr/m3</t>
  </si>
  <si>
    <t>Årlige driftsomkostninger kr/år</t>
  </si>
  <si>
    <t>Tank til opbevaring af vand inkl. styring &amp; pumpe</t>
  </si>
  <si>
    <t>Vandmængde til genbrug</t>
  </si>
  <si>
    <t>MÆNGDE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</si>
</sst>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&quot;kr.&quot;\ #,##0"/>
    <numFmt numFmtId="167" formatCode="####"/>
  </numFmts>
  <fonts count="14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theme="0"/>
      <name val="Verdana"/>
      <family val="2"/>
    </font>
    <font>
      <b/>
      <sz val="9"/>
      <color theme="0"/>
      <name val="Verdana"/>
      <family val="2"/>
    </font>
    <font>
      <sz val="9"/>
      <color rgb="FFFF0000"/>
      <name val="Verdana"/>
      <family val="2"/>
    </font>
    <font>
      <vertAlign val="superscript"/>
      <sz val="9"/>
      <color theme="0"/>
      <name val="Verdana"/>
      <family val="2"/>
    </font>
    <font>
      <sz val="9"/>
      <name val="Verdana"/>
      <family val="2"/>
    </font>
    <font>
      <sz val="20"/>
      <color rgb="FFFF0000"/>
      <name val="Verdana"/>
      <family val="2"/>
    </font>
    <font>
      <sz val="10"/>
      <color theme="1"/>
      <name val="Verdana"/>
      <family val="2"/>
    </font>
    <font>
      <b/>
      <sz val="9"/>
      <color indexed="81"/>
      <name val="Tahoma"/>
      <family val="2"/>
    </font>
    <font>
      <b/>
      <sz val="22"/>
      <color theme="6"/>
      <name val="Verdana"/>
      <family val="2"/>
    </font>
    <font>
      <b/>
      <sz val="11"/>
      <color theme="1"/>
      <name val="Verdana"/>
      <family val="2"/>
    </font>
    <font>
      <sz val="9"/>
      <color rgb="FF000000"/>
      <name val="Verdana"/>
      <family val="2"/>
    </font>
    <font>
      <b/>
      <sz val="9"/>
      <color indexed="81"/>
      <name val="Tahoma"/>
      <charset val="1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wrapText="1"/>
    </xf>
    <xf numFmtId="0" fontId="0" fillId="3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Alignment="1"/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6" fontId="0" fillId="0" borderId="0" xfId="0" applyNumberFormat="1"/>
    <xf numFmtId="0" fontId="0" fillId="2" borderId="0" xfId="0" applyFill="1"/>
    <xf numFmtId="0" fontId="0" fillId="0" borderId="1" xfId="0" applyBorder="1"/>
    <xf numFmtId="166" fontId="0" fillId="0" borderId="1" xfId="0" applyNumberFormat="1" applyBorder="1"/>
    <xf numFmtId="0" fontId="0" fillId="2" borderId="1" xfId="0" applyFill="1" applyBorder="1"/>
    <xf numFmtId="0" fontId="6" fillId="2" borderId="1" xfId="0" applyFont="1" applyFill="1" applyBorder="1"/>
    <xf numFmtId="0" fontId="0" fillId="3" borderId="1" xfId="0" applyFill="1" applyBorder="1"/>
    <xf numFmtId="0" fontId="3" fillId="8" borderId="1" xfId="0" applyFont="1" applyFill="1" applyBorder="1"/>
    <xf numFmtId="164" fontId="0" fillId="3" borderId="1" xfId="0" applyNumberFormat="1" applyFill="1" applyBorder="1"/>
    <xf numFmtId="0" fontId="0" fillId="2" borderId="0" xfId="0" applyFill="1" applyBorder="1"/>
    <xf numFmtId="0" fontId="0" fillId="0" borderId="0" xfId="0" applyFill="1" applyBorder="1"/>
    <xf numFmtId="0" fontId="0" fillId="2" borderId="8" xfId="0" applyFill="1" applyBorder="1"/>
    <xf numFmtId="0" fontId="2" fillId="2" borderId="0" xfId="0" applyFont="1" applyFill="1" applyAlignment="1">
      <alignment horizontal="right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3" borderId="1" xfId="0" applyFont="1" applyFill="1" applyBorder="1"/>
    <xf numFmtId="166" fontId="0" fillId="0" borderId="5" xfId="0" applyNumberFormat="1" applyBorder="1"/>
    <xf numFmtId="0" fontId="0" fillId="0" borderId="5" xfId="0" applyFill="1" applyBorder="1"/>
    <xf numFmtId="166" fontId="0" fillId="3" borderId="9" xfId="0" applyNumberFormat="1" applyFill="1" applyBorder="1"/>
    <xf numFmtId="166" fontId="0" fillId="11" borderId="9" xfId="0" applyNumberFormat="1" applyFill="1" applyBorder="1"/>
    <xf numFmtId="0" fontId="0" fillId="0" borderId="3" xfId="0" applyBorder="1"/>
    <xf numFmtId="0" fontId="0" fillId="2" borderId="3" xfId="0" applyFill="1" applyBorder="1"/>
    <xf numFmtId="166" fontId="0" fillId="3" borderId="13" xfId="0" applyNumberFormat="1" applyFill="1" applyBorder="1"/>
    <xf numFmtId="166" fontId="0" fillId="2" borderId="14" xfId="0" applyNumberFormat="1" applyFill="1" applyBorder="1"/>
    <xf numFmtId="166" fontId="0" fillId="3" borderId="15" xfId="0" applyNumberFormat="1" applyFill="1" applyBorder="1"/>
    <xf numFmtId="166" fontId="2" fillId="6" borderId="16" xfId="0" applyNumberFormat="1" applyFont="1" applyFill="1" applyBorder="1"/>
    <xf numFmtId="166" fontId="0" fillId="9" borderId="3" xfId="0" applyNumberFormat="1" applyFill="1" applyBorder="1"/>
    <xf numFmtId="166" fontId="0" fillId="9" borderId="18" xfId="0" applyNumberFormat="1" applyFill="1" applyBorder="1"/>
    <xf numFmtId="166" fontId="2" fillId="8" borderId="19" xfId="0" applyNumberFormat="1" applyFont="1" applyFill="1" applyBorder="1"/>
    <xf numFmtId="0" fontId="3" fillId="10" borderId="1" xfId="0" applyFont="1" applyFill="1" applyBorder="1" applyAlignment="1">
      <alignment horizontal="center" wrapText="1"/>
    </xf>
    <xf numFmtId="167" fontId="3" fillId="10" borderId="1" xfId="0" applyNumberFormat="1" applyFont="1" applyFill="1" applyBorder="1" applyAlignment="1">
      <alignment horizontal="center" wrapText="1"/>
    </xf>
    <xf numFmtId="0" fontId="3" fillId="10" borderId="3" xfId="0" applyFont="1" applyFill="1" applyBorder="1" applyAlignment="1">
      <alignment horizontal="center" wrapText="1"/>
    </xf>
    <xf numFmtId="0" fontId="3" fillId="13" borderId="11" xfId="0" applyFont="1" applyFill="1" applyBorder="1" applyAlignment="1">
      <alignment horizontal="center" wrapText="1"/>
    </xf>
    <xf numFmtId="0" fontId="3" fillId="13" borderId="1" xfId="0" applyFont="1" applyFill="1" applyBorder="1" applyAlignment="1">
      <alignment horizontal="center" wrapText="1"/>
    </xf>
    <xf numFmtId="0" fontId="3" fillId="13" borderId="3" xfId="0" applyFont="1" applyFill="1" applyBorder="1" applyAlignment="1">
      <alignment horizontal="center" wrapText="1"/>
    </xf>
    <xf numFmtId="0" fontId="3" fillId="12" borderId="11" xfId="0" applyFont="1" applyFill="1" applyBorder="1" applyAlignment="1">
      <alignment horizontal="center" wrapText="1"/>
    </xf>
    <xf numFmtId="0" fontId="3" fillId="12" borderId="1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165" fontId="0" fillId="7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14" borderId="1" xfId="0" applyFill="1" applyBorder="1" applyAlignment="1">
      <alignment horizontal="center" vertical="center" wrapText="1"/>
    </xf>
    <xf numFmtId="0" fontId="0" fillId="14" borderId="0" xfId="0" applyFill="1" applyAlignment="1">
      <alignment horizontal="center" vertical="center" wrapText="1"/>
    </xf>
    <xf numFmtId="0" fontId="0" fillId="14" borderId="3" xfId="0" applyFill="1" applyBorder="1" applyAlignment="1">
      <alignment horizontal="center" vertical="center" wrapText="1"/>
    </xf>
    <xf numFmtId="0" fontId="0" fillId="14" borderId="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10" fillId="0" borderId="0" xfId="0" applyFont="1" applyAlignment="1">
      <alignment vertical="top" wrapText="1"/>
    </xf>
    <xf numFmtId="0" fontId="8" fillId="6" borderId="1" xfId="0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0" fillId="14" borderId="3" xfId="0" applyFill="1" applyBorder="1"/>
    <xf numFmtId="166" fontId="0" fillId="14" borderId="0" xfId="0" applyNumberFormat="1" applyFill="1"/>
    <xf numFmtId="0" fontId="0" fillId="14" borderId="0" xfId="0" applyFill="1"/>
    <xf numFmtId="164" fontId="8" fillId="6" borderId="1" xfId="0" applyNumberFormat="1" applyFont="1" applyFill="1" applyBorder="1" applyAlignment="1">
      <alignment horizontal="right" vertical="center" wrapText="1"/>
    </xf>
    <xf numFmtId="0" fontId="0" fillId="14" borderId="1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2" borderId="5" xfId="0" applyFill="1" applyBorder="1"/>
    <xf numFmtId="0" fontId="0" fillId="5" borderId="1" xfId="0" applyFill="1" applyBorder="1" applyAlignment="1">
      <alignment vertical="center" wrapText="1"/>
    </xf>
    <xf numFmtId="166" fontId="0" fillId="0" borderId="1" xfId="0" applyNumberFormat="1" applyFill="1" applyBorder="1"/>
    <xf numFmtId="166" fontId="0" fillId="4" borderId="12" xfId="0" applyNumberFormat="1" applyFill="1" applyBorder="1"/>
    <xf numFmtId="166" fontId="0" fillId="0" borderId="11" xfId="0" applyNumberFormat="1" applyFill="1" applyBorder="1"/>
    <xf numFmtId="0" fontId="6" fillId="14" borderId="0" xfId="0" applyFont="1" applyFill="1" applyAlignment="1">
      <alignment vertical="center"/>
    </xf>
    <xf numFmtId="0" fontId="10" fillId="0" borderId="0" xfId="0" applyFont="1" applyAlignment="1">
      <alignment horizontal="center" vertical="top" wrapText="1"/>
    </xf>
    <xf numFmtId="0" fontId="0" fillId="0" borderId="0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3" fillId="5" borderId="2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12" borderId="0" xfId="0" applyFont="1" applyFill="1" applyBorder="1" applyAlignment="1">
      <alignment horizontal="center" wrapText="1"/>
    </xf>
    <xf numFmtId="0" fontId="3" fillId="12" borderId="17" xfId="0" applyFont="1" applyFill="1" applyBorder="1" applyAlignment="1">
      <alignment horizontal="center" wrapText="1"/>
    </xf>
    <xf numFmtId="0" fontId="3" fillId="10" borderId="3" xfId="0" applyFont="1" applyFill="1" applyBorder="1" applyAlignment="1">
      <alignment horizontal="center"/>
    </xf>
    <xf numFmtId="0" fontId="3" fillId="10" borderId="7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13" borderId="10" xfId="0" applyFont="1" applyFill="1" applyBorder="1" applyAlignment="1">
      <alignment horizontal="center"/>
    </xf>
    <xf numFmtId="0" fontId="3" fillId="1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6"/>
  <sheetViews>
    <sheetView showGridLines="0" topLeftCell="B22" zoomScale="80" zoomScaleNormal="80" workbookViewId="0">
      <selection activeCell="C48" sqref="C48"/>
    </sheetView>
    <sheetView topLeftCell="B1" workbookViewId="1">
      <selection sqref="A1:L1"/>
    </sheetView>
    <sheetView tabSelected="1" topLeftCell="B1" workbookViewId="2">
      <selection activeCell="E26" sqref="E26"/>
    </sheetView>
  </sheetViews>
  <sheetFormatPr defaultRowHeight="11.25" x14ac:dyDescent="0.15"/>
  <cols>
    <col min="1" max="1" width="1.375" style="1" hidden="1" customWidth="1"/>
    <col min="2" max="2" width="51.375" style="1" customWidth="1"/>
    <col min="3" max="3" width="20.125" style="1" customWidth="1"/>
    <col min="4" max="4" width="10.625" style="1" customWidth="1"/>
    <col min="5" max="5" width="34.5" style="1" customWidth="1"/>
    <col min="6" max="6" width="10.625" style="1" customWidth="1"/>
    <col min="7" max="7" width="30.5" style="1" customWidth="1"/>
    <col min="8" max="8" width="12.25" style="1" customWidth="1"/>
    <col min="9" max="9" width="13.75" style="1" customWidth="1"/>
    <col min="10" max="10" width="9.625" style="1" customWidth="1"/>
    <col min="11" max="11" width="28" style="1" customWidth="1"/>
    <col min="12" max="12" width="11.125" style="1" customWidth="1"/>
    <col min="13" max="16384" width="9" style="1"/>
  </cols>
  <sheetData>
    <row r="1" spans="1:15" ht="36" customHeight="1" x14ac:dyDescent="0.15">
      <c r="A1" s="95" t="s">
        <v>79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77"/>
      <c r="N1" s="77"/>
      <c r="O1" s="77"/>
    </row>
    <row r="2" spans="1:15" ht="33.950000000000003" customHeight="1" x14ac:dyDescent="0.15">
      <c r="B2" s="80" t="s">
        <v>73</v>
      </c>
      <c r="C2" s="85" t="e">
        <f>(C3-C39)/((IF(C18&lt;H51,C18*C36,H51*C36)+(IF(C18&lt;H51,C18*(C37-C38),H51*(C37-C38)))))</f>
        <v>#DIV/0!</v>
      </c>
      <c r="D2" s="79" t="s">
        <v>77</v>
      </c>
    </row>
    <row r="3" spans="1:15" ht="33.950000000000003" customHeight="1" x14ac:dyDescent="0.15">
      <c r="B3" s="80" t="s">
        <v>74</v>
      </c>
      <c r="C3" s="78">
        <f>Prisberegning!G34</f>
        <v>0</v>
      </c>
      <c r="D3" s="79" t="s">
        <v>14</v>
      </c>
      <c r="G3" s="90" t="s">
        <v>200</v>
      </c>
      <c r="H3" s="90">
        <f>IF(C18&lt;H51,C18,H51)</f>
        <v>0</v>
      </c>
      <c r="I3" s="90" t="s">
        <v>2</v>
      </c>
    </row>
    <row r="4" spans="1:15" ht="33.950000000000003" customHeight="1" x14ac:dyDescent="0.15">
      <c r="B4" s="80" t="s">
        <v>75</v>
      </c>
      <c r="C4" s="78">
        <f>Prisberegning!J34</f>
        <v>0</v>
      </c>
      <c r="D4" s="79" t="s">
        <v>78</v>
      </c>
    </row>
    <row r="5" spans="1:15" ht="33.950000000000003" customHeight="1" x14ac:dyDescent="0.15">
      <c r="A5" s="106" t="s">
        <v>76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1:15" ht="33.950000000000003" customHeight="1" x14ac:dyDescent="0.3">
      <c r="B6" s="107" t="s">
        <v>166</v>
      </c>
      <c r="C6" s="107"/>
      <c r="D6" s="107"/>
      <c r="E6" s="107"/>
      <c r="F6" s="107"/>
      <c r="G6" s="107"/>
      <c r="H6" s="107"/>
      <c r="I6" s="107"/>
      <c r="J6" s="107"/>
    </row>
    <row r="7" spans="1:15" ht="33.950000000000003" customHeight="1" x14ac:dyDescent="0.15">
      <c r="A7" s="102" t="s">
        <v>37</v>
      </c>
      <c r="B7" s="102"/>
      <c r="C7" s="56" t="s">
        <v>58</v>
      </c>
      <c r="D7" s="109"/>
      <c r="E7" s="109"/>
      <c r="F7" s="109"/>
      <c r="G7" s="109"/>
      <c r="H7" s="109"/>
      <c r="I7" s="10"/>
      <c r="J7" s="110"/>
      <c r="K7" s="110"/>
      <c r="L7" s="110"/>
    </row>
    <row r="8" spans="1:15" ht="33.950000000000003" customHeight="1" x14ac:dyDescent="0.15">
      <c r="A8" s="8"/>
      <c r="B8" s="7" t="s">
        <v>29</v>
      </c>
      <c r="C8" s="70"/>
      <c r="D8" s="59"/>
      <c r="E8" s="59"/>
      <c r="F8" s="60"/>
      <c r="G8" s="7" t="s">
        <v>170</v>
      </c>
      <c r="H8" s="70"/>
      <c r="I8" s="10"/>
      <c r="J8" s="96"/>
      <c r="K8" s="96"/>
      <c r="L8" s="87"/>
    </row>
    <row r="9" spans="1:15" ht="33.950000000000003" customHeight="1" x14ac:dyDescent="0.15">
      <c r="A9" s="8"/>
      <c r="B9" s="7" t="s">
        <v>35</v>
      </c>
      <c r="C9" s="70"/>
      <c r="D9" s="59"/>
      <c r="E9" s="6" t="s">
        <v>59</v>
      </c>
      <c r="F9" s="72"/>
      <c r="G9" s="7" t="s">
        <v>170</v>
      </c>
      <c r="H9" s="70"/>
      <c r="I9" s="10"/>
    </row>
    <row r="10" spans="1:15" ht="33.950000000000003" customHeight="1" x14ac:dyDescent="0.15">
      <c r="A10" s="8"/>
      <c r="B10" s="7" t="s">
        <v>30</v>
      </c>
      <c r="C10" s="70"/>
      <c r="D10" s="59"/>
      <c r="E10" s="6" t="s">
        <v>57</v>
      </c>
      <c r="F10" s="72"/>
      <c r="G10" s="7" t="s">
        <v>170</v>
      </c>
      <c r="H10" s="70"/>
      <c r="I10" s="10"/>
    </row>
    <row r="11" spans="1:15" ht="33.950000000000003" customHeight="1" x14ac:dyDescent="0.15">
      <c r="A11" s="8"/>
      <c r="B11" s="7" t="s">
        <v>31</v>
      </c>
      <c r="C11" s="70"/>
      <c r="D11" s="59"/>
      <c r="E11" s="6" t="s">
        <v>57</v>
      </c>
      <c r="F11" s="72"/>
      <c r="G11" s="7" t="s">
        <v>170</v>
      </c>
      <c r="H11" s="70"/>
      <c r="I11" s="10"/>
    </row>
    <row r="12" spans="1:15" ht="33.950000000000003" customHeight="1" x14ac:dyDescent="0.15">
      <c r="A12" s="8"/>
      <c r="B12" s="7" t="s">
        <v>32</v>
      </c>
      <c r="C12" s="70"/>
      <c r="D12" s="59"/>
      <c r="E12" s="61"/>
      <c r="F12" s="61"/>
      <c r="G12" s="7" t="s">
        <v>170</v>
      </c>
      <c r="H12" s="70"/>
      <c r="I12" s="10"/>
    </row>
    <row r="13" spans="1:15" ht="33.950000000000003" customHeight="1" x14ac:dyDescent="0.15">
      <c r="A13" s="8"/>
      <c r="B13" s="7" t="s">
        <v>33</v>
      </c>
      <c r="C13" s="70"/>
      <c r="D13" s="59"/>
      <c r="E13" s="61"/>
      <c r="F13" s="61"/>
      <c r="G13" s="7" t="s">
        <v>170</v>
      </c>
      <c r="H13" s="70"/>
      <c r="I13" s="10"/>
    </row>
    <row r="14" spans="1:15" ht="33.950000000000003" customHeight="1" x14ac:dyDescent="0.15">
      <c r="A14" s="8"/>
      <c r="B14" s="7" t="s">
        <v>34</v>
      </c>
      <c r="C14" s="70"/>
      <c r="D14" s="59"/>
      <c r="E14" s="61"/>
      <c r="F14" s="58" t="s">
        <v>111</v>
      </c>
      <c r="G14" s="7" t="s">
        <v>170</v>
      </c>
      <c r="H14" s="70"/>
      <c r="I14" s="10"/>
    </row>
    <row r="15" spans="1:15" ht="33.950000000000003" customHeight="1" x14ac:dyDescent="0.15">
      <c r="A15" s="8"/>
      <c r="B15" s="7" t="s">
        <v>171</v>
      </c>
      <c r="C15" s="6">
        <f>C33/1000*D15*IF(Indtastning!F15=Indstillinger!B2,Indstillinger!C2,1)*IF(Indtastning!F15=Indstillinger!B3,Indstillinger!C3,1)*IF(Indtastning!F15=Indstillinger!B4,Indstillinger!C4,1)*IF(Indtastning!F15=Indstillinger!B5,Indstillinger!C5,1)*IF(Indtastning!F15=Indstillinger!B6,Indstillinger!C6,1)*(100-Indtastning!C19)/100</f>
        <v>0</v>
      </c>
      <c r="D15" s="70"/>
      <c r="E15" s="6" t="s">
        <v>86</v>
      </c>
      <c r="F15" s="71">
        <v>30</v>
      </c>
      <c r="G15" s="7" t="s">
        <v>170</v>
      </c>
      <c r="H15" s="70"/>
      <c r="I15" s="10"/>
    </row>
    <row r="16" spans="1:15" ht="33.950000000000003" customHeight="1" x14ac:dyDescent="0.15">
      <c r="A16" s="8"/>
      <c r="B16" s="7" t="s">
        <v>36</v>
      </c>
      <c r="C16" s="6"/>
      <c r="D16" s="70"/>
      <c r="E16" s="61"/>
      <c r="F16" s="61"/>
      <c r="G16" s="7" t="s">
        <v>170</v>
      </c>
      <c r="H16" s="70"/>
      <c r="I16" s="10"/>
    </row>
    <row r="17" spans="1:12" ht="33.950000000000003" customHeight="1" x14ac:dyDescent="0.15">
      <c r="A17" s="8"/>
      <c r="B17" s="7" t="s">
        <v>38</v>
      </c>
      <c r="C17" s="70"/>
      <c r="D17" s="59"/>
      <c r="E17" s="61"/>
      <c r="F17" s="61"/>
      <c r="G17" s="7" t="s">
        <v>170</v>
      </c>
      <c r="H17" s="70"/>
      <c r="I17" s="10"/>
    </row>
    <row r="18" spans="1:12" ht="33.950000000000003" customHeight="1" x14ac:dyDescent="0.15">
      <c r="A18" s="62"/>
      <c r="B18" s="13" t="s">
        <v>193</v>
      </c>
      <c r="C18" s="12">
        <f>SUM(C8:C17)</f>
        <v>0</v>
      </c>
      <c r="D18" s="59"/>
      <c r="E18" s="61"/>
      <c r="F18" s="61"/>
      <c r="G18" s="62"/>
      <c r="H18" s="62"/>
      <c r="I18" s="10"/>
    </row>
    <row r="19" spans="1:12" ht="33.950000000000003" customHeight="1" x14ac:dyDescent="0.15">
      <c r="A19" s="62"/>
      <c r="B19" s="7" t="s">
        <v>129</v>
      </c>
      <c r="C19" s="70">
        <v>10</v>
      </c>
      <c r="D19" s="6" t="s">
        <v>4</v>
      </c>
      <c r="E19" s="61"/>
      <c r="F19" s="61"/>
      <c r="G19" s="62"/>
      <c r="H19" s="62"/>
      <c r="I19" s="10"/>
    </row>
    <row r="20" spans="1:12" ht="12.75" customHeight="1" x14ac:dyDescent="0.15">
      <c r="A20" s="10"/>
      <c r="B20" s="10"/>
      <c r="C20" s="10"/>
      <c r="D20" s="10"/>
      <c r="E20" s="10"/>
      <c r="F20" s="10"/>
      <c r="G20" s="10"/>
      <c r="H20" s="10"/>
      <c r="I20" s="10"/>
    </row>
    <row r="21" spans="1:12" ht="33.950000000000003" customHeight="1" x14ac:dyDescent="0.15">
      <c r="A21" s="108" t="s">
        <v>169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</row>
    <row r="22" spans="1:12" ht="33.950000000000003" customHeight="1" x14ac:dyDescent="0.15">
      <c r="A22" s="8"/>
      <c r="B22" s="7" t="s">
        <v>41</v>
      </c>
      <c r="C22" s="6" t="s">
        <v>145</v>
      </c>
      <c r="D22" s="70"/>
      <c r="E22" s="6" t="s">
        <v>39</v>
      </c>
      <c r="F22" s="70"/>
      <c r="G22" s="6" t="s">
        <v>164</v>
      </c>
      <c r="H22" s="70"/>
      <c r="I22" s="76" t="s">
        <v>168</v>
      </c>
      <c r="J22" s="86"/>
      <c r="K22" s="74" t="s">
        <v>186</v>
      </c>
      <c r="L22" s="86"/>
    </row>
    <row r="23" spans="1:12" ht="33.950000000000003" customHeight="1" x14ac:dyDescent="0.15">
      <c r="A23" s="8"/>
      <c r="B23" s="7" t="s">
        <v>45</v>
      </c>
      <c r="C23" s="6" t="s">
        <v>145</v>
      </c>
      <c r="D23" s="70"/>
      <c r="E23" s="6" t="s">
        <v>39</v>
      </c>
      <c r="F23" s="70"/>
      <c r="G23" s="6" t="s">
        <v>164</v>
      </c>
      <c r="H23" s="70"/>
      <c r="I23" s="76" t="s">
        <v>168</v>
      </c>
      <c r="J23" s="86"/>
      <c r="K23" s="74" t="s">
        <v>186</v>
      </c>
      <c r="L23" s="86"/>
    </row>
    <row r="24" spans="1:12" ht="33.950000000000003" customHeight="1" x14ac:dyDescent="0.15">
      <c r="A24" s="8"/>
      <c r="B24" s="7" t="s">
        <v>42</v>
      </c>
      <c r="C24" s="6" t="s">
        <v>145</v>
      </c>
      <c r="D24" s="70"/>
      <c r="E24" s="6" t="s">
        <v>39</v>
      </c>
      <c r="F24" s="70"/>
      <c r="G24" s="6" t="s">
        <v>164</v>
      </c>
      <c r="H24" s="70"/>
      <c r="I24" s="76" t="s">
        <v>168</v>
      </c>
      <c r="J24" s="86"/>
      <c r="K24" s="74" t="s">
        <v>186</v>
      </c>
      <c r="L24" s="86"/>
    </row>
    <row r="25" spans="1:12" ht="33.950000000000003" customHeight="1" x14ac:dyDescent="0.15">
      <c r="A25" s="8"/>
      <c r="B25" s="7" t="s">
        <v>46</v>
      </c>
      <c r="C25" s="6" t="s">
        <v>145</v>
      </c>
      <c r="D25" s="70"/>
      <c r="E25" s="6" t="s">
        <v>39</v>
      </c>
      <c r="F25" s="70"/>
      <c r="G25" s="6" t="s">
        <v>164</v>
      </c>
      <c r="H25" s="70"/>
      <c r="I25" s="76" t="s">
        <v>168</v>
      </c>
      <c r="J25" s="86"/>
      <c r="K25" s="74" t="s">
        <v>186</v>
      </c>
      <c r="L25" s="86"/>
    </row>
    <row r="26" spans="1:12" ht="33.950000000000003" customHeight="1" x14ac:dyDescent="0.15">
      <c r="A26" s="8"/>
      <c r="B26" s="7" t="s">
        <v>43</v>
      </c>
      <c r="C26" s="6" t="s">
        <v>192</v>
      </c>
      <c r="D26" s="70"/>
      <c r="E26" s="74" t="s">
        <v>190</v>
      </c>
      <c r="F26" s="70"/>
      <c r="G26" s="74" t="s">
        <v>164</v>
      </c>
      <c r="H26" s="70"/>
      <c r="I26" s="76" t="s">
        <v>168</v>
      </c>
      <c r="J26" s="86"/>
    </row>
    <row r="27" spans="1:12" ht="33.950000000000003" customHeight="1" x14ac:dyDescent="0.15">
      <c r="A27" s="8"/>
      <c r="B27" s="7" t="s">
        <v>47</v>
      </c>
      <c r="C27" s="74" t="s">
        <v>192</v>
      </c>
      <c r="D27" s="70"/>
      <c r="E27" s="74" t="s">
        <v>190</v>
      </c>
      <c r="F27" s="70"/>
      <c r="G27" s="74" t="s">
        <v>164</v>
      </c>
      <c r="H27" s="70"/>
      <c r="I27" s="76" t="s">
        <v>168</v>
      </c>
      <c r="J27" s="86"/>
    </row>
    <row r="28" spans="1:12" ht="33.950000000000003" customHeight="1" x14ac:dyDescent="0.15">
      <c r="A28" s="8"/>
      <c r="B28" s="7" t="s">
        <v>44</v>
      </c>
      <c r="C28" s="74" t="s">
        <v>192</v>
      </c>
      <c r="D28" s="70"/>
      <c r="E28" s="74" t="s">
        <v>190</v>
      </c>
      <c r="F28" s="70"/>
      <c r="G28" s="74" t="s">
        <v>164</v>
      </c>
      <c r="H28" s="70"/>
      <c r="I28" s="76" t="s">
        <v>168</v>
      </c>
      <c r="J28" s="86"/>
    </row>
    <row r="29" spans="1:12" ht="33.950000000000003" customHeight="1" x14ac:dyDescent="0.15">
      <c r="A29" s="8"/>
      <c r="B29" s="7" t="s">
        <v>48</v>
      </c>
      <c r="C29" s="74" t="s">
        <v>192</v>
      </c>
      <c r="D29" s="70"/>
      <c r="E29" s="74" t="s">
        <v>190</v>
      </c>
      <c r="F29" s="70"/>
      <c r="G29" s="74" t="s">
        <v>164</v>
      </c>
      <c r="H29" s="70"/>
      <c r="I29" s="76" t="s">
        <v>168</v>
      </c>
      <c r="J29" s="86"/>
    </row>
    <row r="30" spans="1:12" ht="33.950000000000003" customHeight="1" x14ac:dyDescent="0.15">
      <c r="A30" s="8"/>
      <c r="B30" s="7" t="s">
        <v>40</v>
      </c>
      <c r="C30" s="6" t="s">
        <v>49</v>
      </c>
      <c r="D30" s="70"/>
      <c r="E30" s="6" t="s">
        <v>167</v>
      </c>
      <c r="F30" s="70"/>
      <c r="G30" s="74" t="s">
        <v>187</v>
      </c>
      <c r="H30" s="70"/>
      <c r="I30" s="103" t="s">
        <v>188</v>
      </c>
      <c r="J30" s="103"/>
      <c r="K30" s="70"/>
    </row>
    <row r="31" spans="1:12" ht="9" customHeight="1" x14ac:dyDescent="0.15">
      <c r="A31" s="10"/>
      <c r="B31" s="10"/>
      <c r="C31" s="10"/>
      <c r="D31" s="10"/>
      <c r="E31" s="10"/>
      <c r="F31" s="10"/>
      <c r="G31" s="10"/>
      <c r="H31" s="10"/>
      <c r="I31" s="10"/>
    </row>
    <row r="32" spans="1:12" ht="33.950000000000003" customHeight="1" x14ac:dyDescent="0.15">
      <c r="A32" s="10"/>
      <c r="B32" s="98" t="s">
        <v>101</v>
      </c>
      <c r="C32" s="99"/>
      <c r="D32" s="100"/>
      <c r="E32" s="10"/>
      <c r="F32" s="98" t="s">
        <v>104</v>
      </c>
      <c r="G32" s="99"/>
      <c r="H32" s="99"/>
      <c r="I32" s="100"/>
      <c r="J32" s="3"/>
      <c r="K32" s="3"/>
    </row>
    <row r="33" spans="1:11" ht="33.950000000000003" customHeight="1" x14ac:dyDescent="0.15">
      <c r="A33" s="10"/>
      <c r="B33" s="7" t="s">
        <v>103</v>
      </c>
      <c r="C33" s="70">
        <v>745</v>
      </c>
      <c r="D33" s="6" t="s">
        <v>102</v>
      </c>
      <c r="E33" s="10"/>
      <c r="F33" s="103" t="s">
        <v>105</v>
      </c>
      <c r="G33" s="6" t="s">
        <v>114</v>
      </c>
      <c r="H33" s="70"/>
      <c r="I33" s="6" t="s">
        <v>194</v>
      </c>
      <c r="J33" s="3"/>
      <c r="K33" s="3"/>
    </row>
    <row r="34" spans="1:11" ht="33.950000000000003" customHeight="1" x14ac:dyDescent="0.15">
      <c r="A34" s="10"/>
      <c r="B34" s="10"/>
      <c r="C34" s="10"/>
      <c r="D34" s="10"/>
      <c r="E34" s="10"/>
      <c r="F34" s="103"/>
      <c r="G34" s="63" t="s">
        <v>115</v>
      </c>
      <c r="H34" s="70"/>
      <c r="I34" s="75" t="s">
        <v>194</v>
      </c>
      <c r="J34" s="3"/>
      <c r="K34" s="3"/>
    </row>
    <row r="35" spans="1:11" ht="33.950000000000003" customHeight="1" x14ac:dyDescent="0.15">
      <c r="A35" s="101" t="s">
        <v>50</v>
      </c>
      <c r="B35" s="101"/>
      <c r="C35" s="101"/>
      <c r="D35" s="101"/>
      <c r="E35" s="10"/>
      <c r="F35" s="103"/>
      <c r="G35" s="64" t="s">
        <v>113</v>
      </c>
      <c r="H35" s="6">
        <f>SUM(H33:H34)</f>
        <v>0</v>
      </c>
      <c r="I35" s="75" t="s">
        <v>194</v>
      </c>
      <c r="J35" s="3"/>
      <c r="K35" s="3"/>
    </row>
    <row r="36" spans="1:11" ht="33.950000000000003" customHeight="1" x14ac:dyDescent="0.15">
      <c r="A36" s="8"/>
      <c r="B36" s="7" t="s">
        <v>51</v>
      </c>
      <c r="C36" s="70"/>
      <c r="D36" s="6" t="s">
        <v>3</v>
      </c>
      <c r="E36" s="10"/>
      <c r="F36" s="103"/>
      <c r="G36" s="65" t="s">
        <v>112</v>
      </c>
      <c r="H36" s="70" t="s">
        <v>106</v>
      </c>
      <c r="I36" s="66" t="s">
        <v>111</v>
      </c>
      <c r="J36" s="3"/>
      <c r="K36" s="3"/>
    </row>
    <row r="37" spans="1:11" ht="33.950000000000003" customHeight="1" x14ac:dyDescent="0.15">
      <c r="A37" s="8"/>
      <c r="B37" s="7" t="s">
        <v>52</v>
      </c>
      <c r="C37" s="70"/>
      <c r="D37" s="6" t="s">
        <v>3</v>
      </c>
      <c r="E37" s="10"/>
      <c r="F37" s="103"/>
      <c r="G37" s="104" t="s">
        <v>109</v>
      </c>
      <c r="H37" s="6">
        <f>(IF(H36=Indstillinger!B23,H33*(Indstillinger!C12*Indstillinger!C17+Indstillinger!C16*Indstillinger!C13),0)+IF(H36=Indstillinger!B24,H33*(Indstillinger!C18*Indstillinger!C13+Indstillinger!C12*Indstillinger!C19),0)+IF(H36=Indstillinger!B25,H33*(Indstillinger!C20*Indstillinger!C13+Indstillinger!C12*Indstillinger!C21))+(IF(H36=Indstillinger!B23,H34*Indstillinger!C10*(Indstillinger!C16+Indstillinger!C17),0)+IF(H36=Indstillinger!B24,H34*Indstillinger!C10*(Indstillinger!C18+Indstillinger!C19),0)+IF(H36=Indstillinger!B25,H34*Indstillinger!C10*(Indstillinger!C20+Indstillinger!C21),0)))</f>
        <v>0</v>
      </c>
      <c r="I37" s="6" t="s">
        <v>110</v>
      </c>
      <c r="J37" s="3"/>
      <c r="K37" s="3"/>
    </row>
    <row r="38" spans="1:11" ht="33.950000000000003" customHeight="1" x14ac:dyDescent="0.15">
      <c r="A38" s="8"/>
      <c r="B38" s="7" t="s">
        <v>195</v>
      </c>
      <c r="C38" s="70"/>
      <c r="D38" s="75" t="s">
        <v>3</v>
      </c>
      <c r="E38" s="10"/>
      <c r="F38" s="103"/>
      <c r="G38" s="105"/>
      <c r="H38" s="9">
        <f>H37*365/1000</f>
        <v>0</v>
      </c>
      <c r="I38" s="6" t="s">
        <v>2</v>
      </c>
      <c r="J38" s="3"/>
      <c r="K38" s="3"/>
    </row>
    <row r="39" spans="1:11" ht="33.950000000000003" customHeight="1" x14ac:dyDescent="0.15">
      <c r="A39" s="62"/>
      <c r="B39" s="7" t="s">
        <v>53</v>
      </c>
      <c r="C39" s="70"/>
      <c r="D39" s="6" t="s">
        <v>14</v>
      </c>
      <c r="E39" s="10"/>
      <c r="F39" s="103" t="s">
        <v>116</v>
      </c>
      <c r="G39" s="64" t="s">
        <v>119</v>
      </c>
      <c r="H39" s="70"/>
      <c r="I39" s="6" t="s">
        <v>117</v>
      </c>
    </row>
    <row r="40" spans="1:11" ht="33.950000000000003" customHeight="1" x14ac:dyDescent="0.15">
      <c r="A40" s="10"/>
      <c r="B40" s="7" t="s">
        <v>56</v>
      </c>
      <c r="C40" s="70"/>
      <c r="D40" s="6" t="s">
        <v>1</v>
      </c>
      <c r="E40" s="10"/>
      <c r="F40" s="103"/>
      <c r="G40" s="64" t="s">
        <v>120</v>
      </c>
      <c r="H40" s="70"/>
      <c r="I40" s="6" t="s">
        <v>118</v>
      </c>
    </row>
    <row r="41" spans="1:11" ht="33.950000000000003" customHeight="1" x14ac:dyDescent="0.15">
      <c r="A41" s="10"/>
      <c r="B41" s="10"/>
      <c r="C41" s="10"/>
      <c r="D41" s="10"/>
      <c r="E41" s="10"/>
      <c r="F41" s="103"/>
      <c r="G41" s="64" t="s">
        <v>127</v>
      </c>
      <c r="H41" s="70"/>
      <c r="I41" s="6" t="s">
        <v>128</v>
      </c>
    </row>
    <row r="42" spans="1:11" ht="33.950000000000003" customHeight="1" x14ac:dyDescent="0.15">
      <c r="A42" s="10"/>
      <c r="B42" s="101" t="s">
        <v>55</v>
      </c>
      <c r="C42" s="101"/>
      <c r="D42" s="101"/>
      <c r="E42" s="10"/>
      <c r="F42" s="103"/>
      <c r="G42" s="104" t="s">
        <v>121</v>
      </c>
      <c r="H42" s="6">
        <f>H39*H40*H41</f>
        <v>0</v>
      </c>
      <c r="I42" s="6" t="s">
        <v>110</v>
      </c>
    </row>
    <row r="43" spans="1:11" ht="33.950000000000003" customHeight="1" x14ac:dyDescent="0.15">
      <c r="A43" s="10"/>
      <c r="B43" s="7" t="s">
        <v>54</v>
      </c>
      <c r="C43" s="70"/>
      <c r="D43" s="6" t="s">
        <v>2</v>
      </c>
      <c r="E43" s="10"/>
      <c r="F43" s="103"/>
      <c r="G43" s="105"/>
      <c r="H43" s="6">
        <f>H42*365/1000</f>
        <v>0</v>
      </c>
      <c r="I43" s="6" t="s">
        <v>2</v>
      </c>
    </row>
    <row r="44" spans="1:11" ht="33.950000000000003" customHeight="1" x14ac:dyDescent="0.15">
      <c r="A44" s="10"/>
      <c r="B44" s="10"/>
      <c r="C44" s="10"/>
      <c r="D44" s="10"/>
      <c r="E44" s="10"/>
      <c r="F44" s="103" t="s">
        <v>122</v>
      </c>
      <c r="G44" s="6" t="s">
        <v>123</v>
      </c>
      <c r="H44" s="70"/>
      <c r="I44" s="6" t="s">
        <v>110</v>
      </c>
    </row>
    <row r="45" spans="1:11" ht="33.950000000000003" customHeight="1" x14ac:dyDescent="0.15">
      <c r="A45" s="10"/>
      <c r="B45" s="67" t="s">
        <v>183</v>
      </c>
      <c r="C45" s="57" t="s">
        <v>62</v>
      </c>
      <c r="D45" s="57" t="s">
        <v>142</v>
      </c>
      <c r="E45" s="10"/>
      <c r="F45" s="103"/>
      <c r="G45" s="6" t="s">
        <v>124</v>
      </c>
      <c r="H45" s="71"/>
      <c r="I45" s="6" t="s">
        <v>117</v>
      </c>
    </row>
    <row r="46" spans="1:11" ht="33.950000000000003" customHeight="1" x14ac:dyDescent="0.15">
      <c r="A46" s="10"/>
      <c r="B46" s="7" t="s">
        <v>60</v>
      </c>
      <c r="C46" s="73"/>
      <c r="D46" s="61"/>
      <c r="E46" s="10"/>
      <c r="F46" s="103"/>
      <c r="G46" s="103" t="s">
        <v>125</v>
      </c>
      <c r="H46" s="11">
        <f>H44*H45</f>
        <v>0</v>
      </c>
      <c r="I46" s="6" t="s">
        <v>110</v>
      </c>
    </row>
    <row r="47" spans="1:11" ht="33.950000000000003" customHeight="1" x14ac:dyDescent="0.15">
      <c r="A47" s="10"/>
      <c r="B47" s="7" t="s">
        <v>61</v>
      </c>
      <c r="C47" s="73"/>
      <c r="D47" s="61"/>
      <c r="E47" s="10"/>
      <c r="F47" s="103"/>
      <c r="G47" s="103"/>
      <c r="H47" s="11">
        <f>H46*365/1000</f>
        <v>0</v>
      </c>
      <c r="I47" s="6" t="s">
        <v>2</v>
      </c>
    </row>
    <row r="48" spans="1:11" ht="33.950000000000003" customHeight="1" x14ac:dyDescent="0.15">
      <c r="A48" s="10"/>
      <c r="B48" s="7" t="s">
        <v>63</v>
      </c>
      <c r="C48" s="73"/>
      <c r="D48" s="61"/>
      <c r="E48" s="10"/>
      <c r="F48" s="103" t="s">
        <v>126</v>
      </c>
      <c r="G48" s="103"/>
      <c r="H48" s="70"/>
      <c r="I48" s="6" t="s">
        <v>110</v>
      </c>
    </row>
    <row r="49" spans="1:9" ht="33.950000000000003" customHeight="1" x14ac:dyDescent="0.15">
      <c r="A49" s="10"/>
      <c r="B49" s="7" t="s">
        <v>64</v>
      </c>
      <c r="C49" s="73"/>
      <c r="D49" s="61"/>
      <c r="E49" s="10"/>
      <c r="F49" s="103"/>
      <c r="G49" s="103"/>
      <c r="H49" s="6">
        <f>H48*365/100</f>
        <v>0</v>
      </c>
      <c r="I49" s="6" t="s">
        <v>2</v>
      </c>
    </row>
    <row r="50" spans="1:9" ht="33.950000000000003" customHeight="1" x14ac:dyDescent="0.15">
      <c r="A50" s="10"/>
      <c r="B50" s="7" t="s">
        <v>65</v>
      </c>
      <c r="C50" s="73"/>
      <c r="D50" s="61"/>
      <c r="E50" s="10"/>
      <c r="F50" s="97" t="s">
        <v>165</v>
      </c>
      <c r="G50" s="97"/>
      <c r="H50" s="12">
        <f>SUM(H37+H42+H46+H48)</f>
        <v>0</v>
      </c>
      <c r="I50" s="12" t="s">
        <v>110</v>
      </c>
    </row>
    <row r="51" spans="1:9" ht="33.950000000000003" customHeight="1" x14ac:dyDescent="0.15">
      <c r="A51" s="10"/>
      <c r="B51" s="7" t="s">
        <v>38</v>
      </c>
      <c r="C51" s="61"/>
      <c r="D51" s="70"/>
      <c r="E51" s="10"/>
      <c r="F51" s="97"/>
      <c r="G51" s="97"/>
      <c r="H51" s="14">
        <f>H38+H43+H47+H49</f>
        <v>0</v>
      </c>
      <c r="I51" s="12" t="s">
        <v>2</v>
      </c>
    </row>
    <row r="52" spans="1:9" ht="12.75" customHeight="1" x14ac:dyDescent="0.15">
      <c r="A52" s="10"/>
      <c r="B52" s="10"/>
      <c r="C52" s="10"/>
      <c r="D52" s="10"/>
      <c r="E52" s="10"/>
      <c r="F52" s="10"/>
      <c r="G52" s="10"/>
      <c r="H52" s="10"/>
      <c r="I52" s="10"/>
    </row>
    <row r="53" spans="1:9" ht="33.950000000000003" customHeight="1" x14ac:dyDescent="0.15">
      <c r="A53" s="10"/>
      <c r="B53" s="10"/>
      <c r="C53" s="10"/>
      <c r="D53" s="10"/>
      <c r="E53" s="10"/>
      <c r="F53" s="102" t="s">
        <v>130</v>
      </c>
      <c r="G53" s="102"/>
      <c r="H53" s="102"/>
      <c r="I53" s="102"/>
    </row>
    <row r="54" spans="1:9" ht="33.950000000000003" customHeight="1" x14ac:dyDescent="0.15">
      <c r="A54" s="10"/>
      <c r="B54" s="10"/>
      <c r="C54" s="10"/>
      <c r="D54" s="10"/>
      <c r="E54" s="10"/>
      <c r="F54" s="103" t="s">
        <v>134</v>
      </c>
      <c r="G54" s="103"/>
      <c r="H54" s="70">
        <v>20</v>
      </c>
      <c r="I54" s="6" t="s">
        <v>131</v>
      </c>
    </row>
    <row r="55" spans="1:9" ht="33.950000000000003" customHeight="1" x14ac:dyDescent="0.15">
      <c r="A55" s="10"/>
      <c r="B55" s="10"/>
      <c r="C55" s="10"/>
      <c r="D55" s="10"/>
      <c r="E55" s="10"/>
      <c r="F55" s="97" t="s">
        <v>132</v>
      </c>
      <c r="G55" s="97"/>
      <c r="H55" s="68">
        <f>IF(H50=0,C18/365*H54,0)+IF(H51&gt;C18,C18/365*H54,0)+IF(C18&gt;H51,H51/365*H54,0)</f>
        <v>0</v>
      </c>
      <c r="I55" s="12" t="s">
        <v>133</v>
      </c>
    </row>
    <row r="56" spans="1:9" x14ac:dyDescent="0.15">
      <c r="B56" s="10"/>
      <c r="C56" s="10"/>
      <c r="D56" s="10"/>
    </row>
  </sheetData>
  <mergeCells count="24">
    <mergeCell ref="G37:G38"/>
    <mergeCell ref="F33:F38"/>
    <mergeCell ref="A5:L5"/>
    <mergeCell ref="A7:B7"/>
    <mergeCell ref="B6:J6"/>
    <mergeCell ref="A21:L21"/>
    <mergeCell ref="D7:H7"/>
    <mergeCell ref="J7:L7"/>
    <mergeCell ref="A1:L1"/>
    <mergeCell ref="J8:K8"/>
    <mergeCell ref="F55:G55"/>
    <mergeCell ref="B32:D32"/>
    <mergeCell ref="A35:D35"/>
    <mergeCell ref="F50:G51"/>
    <mergeCell ref="F32:I32"/>
    <mergeCell ref="F53:I53"/>
    <mergeCell ref="F54:G54"/>
    <mergeCell ref="B42:D42"/>
    <mergeCell ref="G42:G43"/>
    <mergeCell ref="F39:F43"/>
    <mergeCell ref="G46:G47"/>
    <mergeCell ref="F44:F47"/>
    <mergeCell ref="F48:G49"/>
    <mergeCell ref="I30:J30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Indstillinger!$B$2:$B$6</xm:f>
          </x14:formula1>
          <xm:sqref>F15</xm:sqref>
        </x14:dataValidation>
        <x14:dataValidation type="list" allowBlank="1" showInputMessage="1" showErrorMessage="1">
          <x14:formula1>
            <xm:f>Indstillinger!$B$23:$B$25</xm:f>
          </x14:formula1>
          <xm:sqref>H36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0"/>
  <sheetViews>
    <sheetView showGridLines="0" workbookViewId="0">
      <selection activeCell="I7" sqref="I7"/>
    </sheetView>
    <sheetView workbookViewId="1">
      <selection sqref="A1:A2"/>
    </sheetView>
    <sheetView topLeftCell="A16" workbookViewId="2">
      <selection activeCell="B4" sqref="B4"/>
    </sheetView>
  </sheetViews>
  <sheetFormatPr defaultRowHeight="11.25" x14ac:dyDescent="0.15"/>
  <cols>
    <col min="1" max="1" width="50.5" customWidth="1"/>
    <col min="2" max="2" width="7.875" customWidth="1"/>
    <col min="3" max="10" width="15.625" customWidth="1"/>
  </cols>
  <sheetData>
    <row r="1" spans="1:10" ht="11.25" customHeight="1" x14ac:dyDescent="0.15">
      <c r="A1" s="115" t="s">
        <v>70</v>
      </c>
      <c r="B1" s="113" t="s">
        <v>201</v>
      </c>
      <c r="C1" s="114"/>
      <c r="D1" s="114"/>
      <c r="E1" s="117" t="s">
        <v>158</v>
      </c>
      <c r="F1" s="118"/>
      <c r="G1" s="118"/>
      <c r="H1" s="111" t="s">
        <v>159</v>
      </c>
      <c r="I1" s="111"/>
      <c r="J1" s="112"/>
    </row>
    <row r="2" spans="1:10" ht="45" x14ac:dyDescent="0.15">
      <c r="A2" s="116"/>
      <c r="B2" s="46" t="s">
        <v>6</v>
      </c>
      <c r="C2" s="47" t="s">
        <v>140</v>
      </c>
      <c r="D2" s="48" t="s">
        <v>141</v>
      </c>
      <c r="E2" s="49" t="s">
        <v>71</v>
      </c>
      <c r="F2" s="50" t="s">
        <v>155</v>
      </c>
      <c r="G2" s="51" t="s">
        <v>156</v>
      </c>
      <c r="H2" s="52" t="s">
        <v>198</v>
      </c>
      <c r="I2" s="53" t="s">
        <v>160</v>
      </c>
      <c r="J2" s="53" t="s">
        <v>157</v>
      </c>
    </row>
    <row r="3" spans="1:10" x14ac:dyDescent="0.15">
      <c r="A3" s="21" t="s">
        <v>9</v>
      </c>
      <c r="B3" s="69" t="s">
        <v>148</v>
      </c>
      <c r="C3" s="21">
        <f>Indtastning!F9</f>
        <v>0</v>
      </c>
      <c r="D3" s="37"/>
      <c r="E3" s="39">
        <f>C3*Priser!C3</f>
        <v>0</v>
      </c>
      <c r="F3" s="18"/>
      <c r="G3" s="43">
        <f>SUM(E3:F3)</f>
        <v>0</v>
      </c>
      <c r="H3" s="19"/>
      <c r="I3" s="30"/>
      <c r="J3" s="92">
        <f>H3+I3</f>
        <v>0</v>
      </c>
    </row>
    <row r="4" spans="1:10" x14ac:dyDescent="0.15">
      <c r="A4" s="21" t="s">
        <v>8</v>
      </c>
      <c r="B4" s="69" t="s">
        <v>147</v>
      </c>
      <c r="C4" s="19"/>
      <c r="D4" s="82"/>
      <c r="E4" s="39">
        <f>D4*Priser!C19</f>
        <v>0</v>
      </c>
      <c r="F4" s="18"/>
      <c r="G4" s="43">
        <f t="shared" ref="G4:G29" si="0">SUM(E4:F4)</f>
        <v>0</v>
      </c>
      <c r="H4" s="19"/>
      <c r="I4" s="30"/>
      <c r="J4" s="92">
        <f t="shared" ref="J4:J33" si="1">H4+I4</f>
        <v>0</v>
      </c>
    </row>
    <row r="5" spans="1:10" x14ac:dyDescent="0.15">
      <c r="A5" s="21" t="s">
        <v>181</v>
      </c>
      <c r="B5" s="69" t="s">
        <v>147</v>
      </c>
      <c r="C5" s="19"/>
      <c r="D5" s="82"/>
      <c r="E5" s="39">
        <f>D5*Priser!C5</f>
        <v>0</v>
      </c>
      <c r="F5" s="18"/>
      <c r="G5" s="43">
        <f t="shared" si="0"/>
        <v>0</v>
      </c>
      <c r="H5" s="91">
        <f>IF(Indtastning!C10+Indtastning!C11&gt;0,(Indtastning!C10+Indtastning!C11)*Indtastning!C40*Priser!E26,0)</f>
        <v>0</v>
      </c>
      <c r="I5" s="30"/>
      <c r="J5" s="92">
        <f t="shared" si="1"/>
        <v>0</v>
      </c>
    </row>
    <row r="6" spans="1:10" x14ac:dyDescent="0.15">
      <c r="A6" s="21" t="s">
        <v>135</v>
      </c>
      <c r="B6" s="69" t="s">
        <v>148</v>
      </c>
      <c r="C6" s="21">
        <f>SUM(Indtastning!F10:F11)</f>
        <v>0</v>
      </c>
      <c r="D6" s="37"/>
      <c r="E6" s="39">
        <f>(C6+D6)*Priser!C27+IF((C6+D6)&gt;0,Priser!C5)</f>
        <v>0</v>
      </c>
      <c r="F6" s="18"/>
      <c r="G6" s="43">
        <f t="shared" si="0"/>
        <v>0</v>
      </c>
      <c r="H6" s="91">
        <f>IF((Indtastning!C10+Indtastning!C11)&gt;0,(Indtastning!C10+Indtastning!C11)*Priser!E26*Indtastning!C40,0)</f>
        <v>0</v>
      </c>
      <c r="I6" s="30"/>
      <c r="J6" s="92">
        <f t="shared" si="1"/>
        <v>0</v>
      </c>
    </row>
    <row r="7" spans="1:10" x14ac:dyDescent="0.15">
      <c r="A7" s="21" t="s">
        <v>199</v>
      </c>
      <c r="B7" s="69" t="s">
        <v>133</v>
      </c>
      <c r="C7" s="23">
        <f>Indtastning!H55</f>
        <v>0</v>
      </c>
      <c r="D7" s="37"/>
      <c r="E7" s="39">
        <f>IF(AND(C7+D7&lt;=5,C7+D7&gt;0),Priser!C34,IF(AND(C7+D7&gt;5,C7+D7&lt;10),Priser!C35,IF(AND((C7+D7)&lt;20,(C7+D7)&gt;10),Priser!C36,IF(20&lt;(C7+D7),Priser!C37,0))))</f>
        <v>0</v>
      </c>
      <c r="F7" s="18"/>
      <c r="G7" s="43">
        <f t="shared" si="0"/>
        <v>0</v>
      </c>
      <c r="H7" s="91">
        <f>IF(Indtastning!H55&gt;0, Priser!H3*Priser!E34*Indtastning!C40,0)</f>
        <v>0</v>
      </c>
      <c r="I7" s="30"/>
      <c r="J7" s="92">
        <f t="shared" si="1"/>
        <v>0</v>
      </c>
    </row>
    <row r="8" spans="1:10" x14ac:dyDescent="0.15">
      <c r="A8" s="21" t="s">
        <v>22</v>
      </c>
      <c r="B8" s="69" t="s">
        <v>147</v>
      </c>
      <c r="C8" s="20"/>
      <c r="D8" s="37"/>
      <c r="E8" s="39">
        <f>D8*Priser!C16</f>
        <v>0</v>
      </c>
      <c r="F8" s="18"/>
      <c r="G8" s="43">
        <f t="shared" si="0"/>
        <v>0</v>
      </c>
      <c r="H8" s="19"/>
      <c r="I8" s="30"/>
      <c r="J8" s="92">
        <f t="shared" si="1"/>
        <v>0</v>
      </c>
    </row>
    <row r="9" spans="1:10" x14ac:dyDescent="0.15">
      <c r="A9" s="2" t="s">
        <v>60</v>
      </c>
      <c r="B9" s="5" t="s">
        <v>147</v>
      </c>
      <c r="C9" s="21">
        <f>Indtastning!C46</f>
        <v>0</v>
      </c>
      <c r="D9" s="37"/>
      <c r="E9" s="39">
        <f>(C9+D9)*Priser!C28</f>
        <v>0</v>
      </c>
      <c r="F9" s="18"/>
      <c r="G9" s="43">
        <f t="shared" si="0"/>
        <v>0</v>
      </c>
      <c r="H9" s="91">
        <f>IF(Indtastning!C46&gt;0,Indtastning!H3*Priser!E28*Indtastning!C40,0)</f>
        <v>0</v>
      </c>
      <c r="I9" s="30"/>
      <c r="J9" s="92">
        <f t="shared" si="1"/>
        <v>0</v>
      </c>
    </row>
    <row r="10" spans="1:10" x14ac:dyDescent="0.15">
      <c r="A10" s="2" t="s">
        <v>61</v>
      </c>
      <c r="B10" s="5" t="s">
        <v>147</v>
      </c>
      <c r="C10" s="21">
        <f>Indtastning!C47</f>
        <v>0</v>
      </c>
      <c r="D10" s="37"/>
      <c r="E10" s="39">
        <f>(C10+D10)*Priser!C2</f>
        <v>0</v>
      </c>
      <c r="F10" s="18"/>
      <c r="G10" s="43">
        <f t="shared" si="0"/>
        <v>0</v>
      </c>
      <c r="H10" s="93">
        <f>IF(Indtastning!C46&gt;0,Priser!D2*Indtastning!H3,0)</f>
        <v>0</v>
      </c>
      <c r="I10" s="30"/>
      <c r="J10" s="92">
        <f t="shared" si="1"/>
        <v>0</v>
      </c>
    </row>
    <row r="11" spans="1:10" x14ac:dyDescent="0.15">
      <c r="A11" s="21" t="s">
        <v>162</v>
      </c>
      <c r="B11" s="5" t="s">
        <v>147</v>
      </c>
      <c r="C11" s="21">
        <f>Indtastning!C48</f>
        <v>0</v>
      </c>
      <c r="D11" s="37"/>
      <c r="E11" s="39">
        <f>(C11+D11)*Priser!C29</f>
        <v>0</v>
      </c>
      <c r="F11" s="18"/>
      <c r="G11" s="43">
        <f t="shared" si="0"/>
        <v>0</v>
      </c>
      <c r="H11" s="91">
        <f>IF(Indtastning!C48&lt;0,Priser!E29*Indtastning!C40*Indtastning!H3,0)</f>
        <v>0</v>
      </c>
      <c r="I11" s="30"/>
      <c r="J11" s="92">
        <f t="shared" si="1"/>
        <v>0</v>
      </c>
    </row>
    <row r="12" spans="1:10" x14ac:dyDescent="0.15">
      <c r="A12" s="2" t="s">
        <v>64</v>
      </c>
      <c r="B12" s="5" t="s">
        <v>147</v>
      </c>
      <c r="C12" s="21">
        <f>Indtastning!C49</f>
        <v>0</v>
      </c>
      <c r="D12" s="37"/>
      <c r="E12" s="39">
        <f>(C12+D12)*Priser!C30</f>
        <v>0</v>
      </c>
      <c r="F12" s="18"/>
      <c r="G12" s="43">
        <f t="shared" si="0"/>
        <v>0</v>
      </c>
      <c r="H12" s="91">
        <f>IF(Indtastning!C49&gt;0,Indtastning!H3*Indtastning!C40*Priser!E26,0)</f>
        <v>0</v>
      </c>
      <c r="I12" s="30"/>
      <c r="J12" s="92">
        <f t="shared" si="1"/>
        <v>0</v>
      </c>
    </row>
    <row r="13" spans="1:10" x14ac:dyDescent="0.15">
      <c r="A13" s="2" t="s">
        <v>65</v>
      </c>
      <c r="B13" s="5" t="s">
        <v>147</v>
      </c>
      <c r="C13" s="21">
        <f>Indtastning!C50</f>
        <v>0</v>
      </c>
      <c r="D13" s="37"/>
      <c r="E13" s="39">
        <f>(C13+D13)*Priser!C31</f>
        <v>0</v>
      </c>
      <c r="F13" s="18"/>
      <c r="G13" s="43">
        <f t="shared" si="0"/>
        <v>0</v>
      </c>
      <c r="H13" s="91">
        <f>IF(Indtastning!C50&gt;0,Indtastning!H3*Indtastning!C40*Priser!E31,0)</f>
        <v>0</v>
      </c>
      <c r="I13" s="30"/>
      <c r="J13" s="92">
        <f t="shared" si="1"/>
        <v>0</v>
      </c>
    </row>
    <row r="14" spans="1:10" x14ac:dyDescent="0.15">
      <c r="A14" s="2" t="s">
        <v>13</v>
      </c>
      <c r="B14" s="5" t="s">
        <v>0</v>
      </c>
      <c r="C14" s="21">
        <f>Indtastning!D51</f>
        <v>0</v>
      </c>
      <c r="D14" s="38"/>
      <c r="E14" s="39">
        <f>Indtastning!D51</f>
        <v>0</v>
      </c>
      <c r="F14" s="18"/>
      <c r="G14" s="43">
        <f t="shared" si="0"/>
        <v>0</v>
      </c>
      <c r="H14" s="19"/>
      <c r="I14" s="30"/>
      <c r="J14" s="92">
        <f t="shared" si="1"/>
        <v>0</v>
      </c>
    </row>
    <row r="15" spans="1:10" x14ac:dyDescent="0.15">
      <c r="A15" s="21" t="s">
        <v>184</v>
      </c>
      <c r="B15" s="69" t="s">
        <v>148</v>
      </c>
      <c r="C15" s="21">
        <f>Indtastning!H8+Indtastning!H9+Indtastning!H10+Indtastning!H11+Indtastning!H12+Indtastning!H13+Indtastning!H14+Indtastning!H15+Indtastning!H16+Indtastning!H17+Indtastning!D30*Indtastning!F30</f>
        <v>0</v>
      </c>
      <c r="D15" s="37"/>
      <c r="E15" s="39">
        <f>(C15+D15)*Priser!C33</f>
        <v>0</v>
      </c>
      <c r="F15" s="18"/>
      <c r="G15" s="43">
        <f t="shared" si="0"/>
        <v>0</v>
      </c>
      <c r="H15" s="19"/>
      <c r="I15" s="30"/>
      <c r="J15" s="92">
        <f t="shared" si="1"/>
        <v>0</v>
      </c>
    </row>
    <row r="16" spans="1:10" x14ac:dyDescent="0.15">
      <c r="A16" s="21" t="s">
        <v>185</v>
      </c>
      <c r="B16" s="69" t="s">
        <v>147</v>
      </c>
      <c r="C16" s="21">
        <f>Indtastning!D30</f>
        <v>0</v>
      </c>
      <c r="D16" s="37"/>
      <c r="E16" s="39">
        <f>(C16+D16)*Priser!C32</f>
        <v>0</v>
      </c>
      <c r="F16" s="18"/>
      <c r="G16" s="43">
        <f t="shared" si="0"/>
        <v>0</v>
      </c>
      <c r="H16" s="19"/>
      <c r="I16" s="30"/>
      <c r="J16" s="92">
        <f t="shared" si="1"/>
        <v>0</v>
      </c>
    </row>
    <row r="17" spans="1:10" x14ac:dyDescent="0.15">
      <c r="A17" s="21" t="s">
        <v>16</v>
      </c>
      <c r="B17" s="69" t="s">
        <v>149</v>
      </c>
      <c r="C17" s="21">
        <f>IF(Indtastning!D26&gt;1,1)+IF(Indtastning!D27&gt;0,1)+IF(Indtastning!D28&gt;0,1)+IF(Indtastning!D29&gt;0,1)+Indtastning!D30</f>
        <v>0</v>
      </c>
      <c r="D17" s="37"/>
      <c r="E17" s="39">
        <f>(C17+D17)*Priser!C22</f>
        <v>0</v>
      </c>
      <c r="F17" s="18"/>
      <c r="G17" s="43">
        <f t="shared" si="0"/>
        <v>0</v>
      </c>
      <c r="H17" s="19"/>
      <c r="I17" s="30"/>
      <c r="J17" s="92">
        <f t="shared" si="1"/>
        <v>0</v>
      </c>
    </row>
    <row r="18" spans="1:10" x14ac:dyDescent="0.15">
      <c r="A18" s="21" t="s">
        <v>154</v>
      </c>
      <c r="B18" s="69" t="s">
        <v>146</v>
      </c>
      <c r="C18" s="21">
        <f>IF(Indtastning!D26&gt;1,1)+IF(Indtastning!D27&gt;0,1)+IF(Indtastning!D28&gt;0,1)+IF(Indtastning!D29&gt;0,1)+Indtastning!D30</f>
        <v>0</v>
      </c>
      <c r="D18" s="37"/>
      <c r="E18" s="39">
        <f>(C18+D18)*Priser!C4</f>
        <v>0</v>
      </c>
      <c r="F18" s="18"/>
      <c r="G18" s="43">
        <f>SUM(E18:F18)</f>
        <v>0</v>
      </c>
      <c r="H18" s="19"/>
      <c r="I18" s="30"/>
      <c r="J18" s="92">
        <f t="shared" si="1"/>
        <v>0</v>
      </c>
    </row>
    <row r="19" spans="1:10" x14ac:dyDescent="0.15">
      <c r="A19" s="21" t="s">
        <v>136</v>
      </c>
      <c r="B19" s="69" t="s">
        <v>149</v>
      </c>
      <c r="C19" s="21">
        <f>IF(Indtastning!D22&gt;0,1)+IF(Indtastning!D23&gt;0,1)+IF(Indtastning!D24&gt;0,1)+IF(Indtastning!D25&gt;0,1)+IF(Indtastning!D26&gt;1,1)+IF(Indtastning!D27&gt;0,1)+IF(Indtastning!D28&gt;0,1)+IF(Indtastning!D29&gt;0,1)+Indtastning!D30</f>
        <v>0</v>
      </c>
      <c r="D19" s="37"/>
      <c r="E19" s="39">
        <f>(C19+D19)*Priser!C23</f>
        <v>0</v>
      </c>
      <c r="F19" s="18"/>
      <c r="G19" s="43">
        <f>SUM(E19:F19)</f>
        <v>0</v>
      </c>
      <c r="H19" s="19"/>
      <c r="I19" s="30"/>
      <c r="J19" s="92">
        <f t="shared" si="1"/>
        <v>0</v>
      </c>
    </row>
    <row r="20" spans="1:10" x14ac:dyDescent="0.15">
      <c r="A20" s="21" t="s">
        <v>175</v>
      </c>
      <c r="B20" s="69" t="s">
        <v>148</v>
      </c>
      <c r="C20" s="21">
        <f>Indtastning!L22*Indtastning!F22+Indtastning!L24*Indtastning!F24</f>
        <v>0</v>
      </c>
      <c r="D20" s="37"/>
      <c r="E20" s="39">
        <f>C20*Priser!C8</f>
        <v>0</v>
      </c>
      <c r="F20" s="18"/>
      <c r="G20" s="43">
        <f t="shared" ref="G20:G25" si="2">SUM(E20:F20)</f>
        <v>0</v>
      </c>
      <c r="H20" s="19"/>
      <c r="I20" s="30"/>
      <c r="J20" s="92">
        <f t="shared" si="1"/>
        <v>0</v>
      </c>
    </row>
    <row r="21" spans="1:10" x14ac:dyDescent="0.15">
      <c r="A21" s="21" t="s">
        <v>176</v>
      </c>
      <c r="B21" s="69" t="s">
        <v>148</v>
      </c>
      <c r="C21" s="21">
        <f>Indtastning!L23*Indtastning!F23+Indtastning!F25*Indtastning!L25</f>
        <v>0</v>
      </c>
      <c r="D21" s="37"/>
      <c r="E21" s="39">
        <f>C21*Priser!C9</f>
        <v>0</v>
      </c>
      <c r="F21" s="18"/>
      <c r="G21" s="43">
        <f t="shared" si="2"/>
        <v>0</v>
      </c>
      <c r="H21" s="19"/>
      <c r="I21" s="30"/>
      <c r="J21" s="92">
        <f t="shared" si="1"/>
        <v>0</v>
      </c>
    </row>
    <row r="22" spans="1:10" x14ac:dyDescent="0.15">
      <c r="A22" s="21" t="s">
        <v>177</v>
      </c>
      <c r="B22" s="69" t="s">
        <v>148</v>
      </c>
      <c r="C22" s="21">
        <f>Indtastning!D28</f>
        <v>0</v>
      </c>
      <c r="D22" s="37"/>
      <c r="E22" s="39">
        <f>C22*Priser!C10</f>
        <v>0</v>
      </c>
      <c r="F22" s="18"/>
      <c r="G22" s="43">
        <f t="shared" si="2"/>
        <v>0</v>
      </c>
      <c r="H22" s="19"/>
      <c r="I22" s="30"/>
      <c r="J22" s="92">
        <f t="shared" si="1"/>
        <v>0</v>
      </c>
    </row>
    <row r="23" spans="1:10" x14ac:dyDescent="0.15">
      <c r="A23" s="21" t="s">
        <v>178</v>
      </c>
      <c r="B23" s="69" t="s">
        <v>148</v>
      </c>
      <c r="C23" s="21">
        <f>Indtastning!D29</f>
        <v>0</v>
      </c>
      <c r="D23" s="37"/>
      <c r="E23" s="39">
        <f>C23*Priser!C11</f>
        <v>0</v>
      </c>
      <c r="F23" s="18"/>
      <c r="G23" s="43">
        <f t="shared" si="2"/>
        <v>0</v>
      </c>
      <c r="H23" s="19"/>
      <c r="I23" s="30"/>
      <c r="J23" s="92">
        <f t="shared" si="1"/>
        <v>0</v>
      </c>
    </row>
    <row r="24" spans="1:10" x14ac:dyDescent="0.15">
      <c r="A24" s="21" t="s">
        <v>179</v>
      </c>
      <c r="B24" s="69" t="s">
        <v>148</v>
      </c>
      <c r="C24" s="21">
        <f>Indtastning!D26</f>
        <v>0</v>
      </c>
      <c r="D24" s="37"/>
      <c r="E24" s="39">
        <f>C24*Priser!C12</f>
        <v>0</v>
      </c>
      <c r="F24" s="18"/>
      <c r="G24" s="43">
        <f t="shared" si="2"/>
        <v>0</v>
      </c>
      <c r="H24" s="19"/>
      <c r="I24" s="30"/>
      <c r="J24" s="92">
        <f t="shared" si="1"/>
        <v>0</v>
      </c>
    </row>
    <row r="25" spans="1:10" x14ac:dyDescent="0.15">
      <c r="A25" s="21" t="s">
        <v>180</v>
      </c>
      <c r="B25" s="69" t="s">
        <v>148</v>
      </c>
      <c r="C25" s="21">
        <f>Indtastning!D27</f>
        <v>0</v>
      </c>
      <c r="D25" s="37"/>
      <c r="E25" s="39">
        <f>C25*Priser!C13</f>
        <v>0</v>
      </c>
      <c r="F25" s="18"/>
      <c r="G25" s="43">
        <f t="shared" si="2"/>
        <v>0</v>
      </c>
      <c r="H25" s="19"/>
      <c r="I25" s="30"/>
      <c r="J25" s="92">
        <f t="shared" si="1"/>
        <v>0</v>
      </c>
    </row>
    <row r="26" spans="1:10" x14ac:dyDescent="0.15">
      <c r="A26" s="21" t="s">
        <v>25</v>
      </c>
      <c r="B26" s="69" t="s">
        <v>148</v>
      </c>
      <c r="C26" s="21">
        <f>Indtastning!D22*Indtastning!F22*Indtastning!H22*Indtastning!J22+Indtastning!D23*Indtastning!F23*Indtastning!H23*Indtastning!J23+Indtastning!D24*Indtastning!F24*Indtastning!H24*Indtastning!J24+Indtastning!D25*Indtastning!F25*Indtastning!H25*Indtastning!J26+Indtastning!D27*Indtastning!F27*Indtastning!H27*Indtastning!J27+Indtastning!D28*Indtastning!F28*Indtastning!H28*Indtastning!J28+Indtastning!D29*Indtastning!F29*Indtastning!H29*Indtastning!J29+Indtastning!K30</f>
        <v>0</v>
      </c>
      <c r="D26" s="37"/>
      <c r="E26" s="39">
        <f>(C26+D26)*Priser!C14</f>
        <v>0</v>
      </c>
      <c r="F26" s="18"/>
      <c r="G26" s="43">
        <f t="shared" si="0"/>
        <v>0</v>
      </c>
      <c r="H26" s="19"/>
      <c r="I26" s="30"/>
      <c r="J26" s="92">
        <f t="shared" si="1"/>
        <v>0</v>
      </c>
    </row>
    <row r="27" spans="1:10" x14ac:dyDescent="0.15">
      <c r="A27" s="21" t="s">
        <v>139</v>
      </c>
      <c r="B27" s="69" t="s">
        <v>149</v>
      </c>
      <c r="C27" s="19"/>
      <c r="D27" s="82"/>
      <c r="E27" s="39">
        <f>D27*Priser!C21</f>
        <v>0</v>
      </c>
      <c r="F27" s="18"/>
      <c r="G27" s="43">
        <f t="shared" si="0"/>
        <v>0</v>
      </c>
      <c r="H27" s="19"/>
      <c r="I27" s="30"/>
      <c r="J27" s="92">
        <f t="shared" si="1"/>
        <v>0</v>
      </c>
    </row>
    <row r="28" spans="1:10" x14ac:dyDescent="0.15">
      <c r="A28" s="21" t="s">
        <v>137</v>
      </c>
      <c r="B28" s="69" t="s">
        <v>148</v>
      </c>
      <c r="C28" s="21">
        <f>IF(Indtastning!H26&gt;1,Indtastning!J26*Indtastning!H26,0)+IF(Indtastning!H27&gt;1,Indtastning!J27*Indtastning!H27,0)+IF(Indtastning!H28&gt;1,Indtastning!H28*Indtastning!J28,0)+IF(Indtastning!H29&gt;1,Indtastning!H29*Indtastning!J29,0)</f>
        <v>0</v>
      </c>
      <c r="D28" s="37"/>
      <c r="E28" s="39">
        <f>C28*Priser!C24</f>
        <v>0</v>
      </c>
      <c r="F28" s="18"/>
      <c r="G28" s="43">
        <f t="shared" si="0"/>
        <v>0</v>
      </c>
      <c r="H28" s="19"/>
      <c r="I28" s="30"/>
      <c r="J28" s="92">
        <f t="shared" si="1"/>
        <v>0</v>
      </c>
    </row>
    <row r="29" spans="1:10" x14ac:dyDescent="0.15">
      <c r="A29" s="21" t="s">
        <v>138</v>
      </c>
      <c r="B29" s="69" t="s">
        <v>148</v>
      </c>
      <c r="C29" s="21">
        <f>Indtastning!F26+Indtastning!F27+Indtastning!F28+Indtastning!F29</f>
        <v>0</v>
      </c>
      <c r="D29" s="37"/>
      <c r="E29" s="39">
        <f>C29*Priser!C24</f>
        <v>0</v>
      </c>
      <c r="F29" s="18"/>
      <c r="G29" s="43">
        <f t="shared" si="0"/>
        <v>0</v>
      </c>
      <c r="H29" s="19"/>
      <c r="I29" s="30"/>
      <c r="J29" s="92">
        <f t="shared" si="1"/>
        <v>0</v>
      </c>
    </row>
    <row r="30" spans="1:10" x14ac:dyDescent="0.15">
      <c r="A30" s="21" t="s">
        <v>38</v>
      </c>
      <c r="B30" s="24"/>
      <c r="C30" s="24"/>
      <c r="D30" s="24"/>
      <c r="E30" s="40"/>
      <c r="F30" s="18"/>
      <c r="G30" s="43">
        <f>F30</f>
        <v>0</v>
      </c>
      <c r="H30" s="19"/>
      <c r="I30" s="30"/>
      <c r="J30" s="92">
        <f t="shared" si="1"/>
        <v>0</v>
      </c>
    </row>
    <row r="31" spans="1:10" x14ac:dyDescent="0.15">
      <c r="A31" s="21" t="s">
        <v>38</v>
      </c>
      <c r="B31" s="24"/>
      <c r="C31" s="24"/>
      <c r="D31" s="24"/>
      <c r="E31" s="40"/>
      <c r="F31" s="18"/>
      <c r="G31" s="43">
        <f>F31</f>
        <v>0</v>
      </c>
      <c r="H31" s="19"/>
      <c r="I31" s="30"/>
      <c r="J31" s="92">
        <f t="shared" si="1"/>
        <v>0</v>
      </c>
    </row>
    <row r="32" spans="1:10" x14ac:dyDescent="0.15">
      <c r="A32" s="21" t="s">
        <v>38</v>
      </c>
      <c r="B32" s="24"/>
      <c r="C32" s="24"/>
      <c r="D32" s="24"/>
      <c r="E32" s="40"/>
      <c r="F32" s="18"/>
      <c r="G32" s="43">
        <f>F32</f>
        <v>0</v>
      </c>
      <c r="H32" s="19"/>
      <c r="I32" s="30"/>
      <c r="J32" s="92">
        <f t="shared" si="1"/>
        <v>0</v>
      </c>
    </row>
    <row r="33" spans="1:10" x14ac:dyDescent="0.15">
      <c r="A33" s="21" t="s">
        <v>38</v>
      </c>
      <c r="B33" s="24"/>
      <c r="C33" s="24"/>
      <c r="D33" s="24"/>
      <c r="E33" s="40"/>
      <c r="F33" s="33"/>
      <c r="G33" s="44">
        <f>F33</f>
        <v>0</v>
      </c>
      <c r="H33" s="19"/>
      <c r="I33" s="34"/>
      <c r="J33" s="92">
        <f t="shared" si="1"/>
        <v>0</v>
      </c>
    </row>
    <row r="34" spans="1:10" ht="12" thickBot="1" x14ac:dyDescent="0.2">
      <c r="A34" s="26" t="s">
        <v>150</v>
      </c>
      <c r="B34" s="16"/>
      <c r="C34" s="16"/>
      <c r="D34" s="27" t="s">
        <v>151</v>
      </c>
      <c r="E34" s="41">
        <f>SUM(E3:E29)</f>
        <v>0</v>
      </c>
      <c r="F34" s="35">
        <f t="shared" ref="F34:J34" si="3">SUM(F3:F33)</f>
        <v>0</v>
      </c>
      <c r="G34" s="45">
        <f t="shared" si="3"/>
        <v>0</v>
      </c>
      <c r="H34" s="36">
        <f t="shared" si="3"/>
        <v>0</v>
      </c>
      <c r="I34" s="36">
        <f t="shared" si="3"/>
        <v>0</v>
      </c>
      <c r="J34" s="42">
        <f t="shared" si="3"/>
        <v>0</v>
      </c>
    </row>
    <row r="35" spans="1:10" ht="3" customHeight="1" thickTop="1" x14ac:dyDescent="0.15">
      <c r="E35" s="15"/>
    </row>
    <row r="36" spans="1:10" ht="3" customHeight="1" x14ac:dyDescent="0.15">
      <c r="B36" s="15"/>
    </row>
    <row r="37" spans="1:10" ht="21.75" customHeight="1" x14ac:dyDescent="0.15">
      <c r="A37" s="94" t="s">
        <v>191</v>
      </c>
      <c r="B37" s="83"/>
      <c r="C37" s="84"/>
      <c r="D37" s="84"/>
    </row>
    <row r="38" spans="1:10" x14ac:dyDescent="0.15">
      <c r="B38" s="15"/>
    </row>
    <row r="39" spans="1:10" x14ac:dyDescent="0.15">
      <c r="B39" s="15"/>
    </row>
    <row r="40" spans="1:10" x14ac:dyDescent="0.15">
      <c r="B40" s="15"/>
    </row>
  </sheetData>
  <mergeCells count="4">
    <mergeCell ref="H1:J1"/>
    <mergeCell ref="B1:D1"/>
    <mergeCell ref="A1:A2"/>
    <mergeCell ref="E1:G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E26" sqref="E26"/>
    </sheetView>
    <sheetView tabSelected="1" workbookViewId="1">
      <selection activeCell="J10" sqref="J10"/>
    </sheetView>
    <sheetView workbookViewId="2">
      <selection activeCell="E26" sqref="E26"/>
    </sheetView>
  </sheetViews>
  <sheetFormatPr defaultRowHeight="11.25" x14ac:dyDescent="0.15"/>
  <cols>
    <col min="1" max="1" width="59.75" customWidth="1"/>
    <col min="2" max="2" width="23.375" customWidth="1"/>
    <col min="3" max="3" width="11.75" customWidth="1"/>
    <col min="4" max="4" width="17.875" customWidth="1"/>
    <col min="5" max="5" width="18" customWidth="1"/>
  </cols>
  <sheetData>
    <row r="1" spans="1:5" ht="22.5" x14ac:dyDescent="0.15">
      <c r="A1" s="22" t="s">
        <v>70</v>
      </c>
      <c r="B1" s="22" t="s">
        <v>6</v>
      </c>
      <c r="C1" s="54" t="s">
        <v>161</v>
      </c>
      <c r="D1" s="55" t="s">
        <v>197</v>
      </c>
      <c r="E1" s="55" t="s">
        <v>196</v>
      </c>
    </row>
    <row r="2" spans="1:5" x14ac:dyDescent="0.15">
      <c r="A2" s="2" t="s">
        <v>61</v>
      </c>
      <c r="B2" s="21" t="s">
        <v>72</v>
      </c>
      <c r="C2" s="17">
        <v>30000</v>
      </c>
      <c r="D2" s="88">
        <v>1</v>
      </c>
      <c r="E2" s="19"/>
    </row>
    <row r="3" spans="1:5" x14ac:dyDescent="0.15">
      <c r="A3" s="21" t="s">
        <v>9</v>
      </c>
      <c r="B3" s="21" t="s">
        <v>10</v>
      </c>
      <c r="C3" s="17">
        <v>2700</v>
      </c>
      <c r="D3" s="16"/>
      <c r="E3" s="89"/>
    </row>
    <row r="4" spans="1:5" x14ac:dyDescent="0.15">
      <c r="A4" s="21" t="s">
        <v>27</v>
      </c>
      <c r="B4" s="21" t="s">
        <v>68</v>
      </c>
      <c r="C4" s="17">
        <v>6000</v>
      </c>
      <c r="D4" s="16"/>
      <c r="E4" s="19"/>
    </row>
    <row r="5" spans="1:5" x14ac:dyDescent="0.15">
      <c r="A5" s="21" t="s">
        <v>66</v>
      </c>
      <c r="B5" s="21" t="s">
        <v>11</v>
      </c>
      <c r="C5" s="17">
        <f>35000+20000</f>
        <v>55000</v>
      </c>
      <c r="D5" s="16"/>
      <c r="E5" s="17">
        <v>0.15</v>
      </c>
    </row>
    <row r="6" spans="1:5" x14ac:dyDescent="0.15">
      <c r="A6" s="21" t="s">
        <v>28</v>
      </c>
      <c r="B6" s="21" t="s">
        <v>68</v>
      </c>
      <c r="C6" s="17">
        <v>15000</v>
      </c>
      <c r="D6" s="16"/>
      <c r="E6" s="16"/>
    </row>
    <row r="7" spans="1:5" x14ac:dyDescent="0.15">
      <c r="A7" s="21" t="s">
        <v>23</v>
      </c>
      <c r="B7" s="21" t="s">
        <v>67</v>
      </c>
      <c r="C7" s="17">
        <v>2500</v>
      </c>
      <c r="D7" s="16"/>
      <c r="E7" s="16"/>
    </row>
    <row r="8" spans="1:5" x14ac:dyDescent="0.15">
      <c r="A8" s="21" t="s">
        <v>175</v>
      </c>
      <c r="B8" s="21" t="s">
        <v>67</v>
      </c>
      <c r="C8" s="17">
        <v>700</v>
      </c>
      <c r="D8" s="16"/>
      <c r="E8" s="16"/>
    </row>
    <row r="9" spans="1:5" x14ac:dyDescent="0.15">
      <c r="A9" s="21" t="s">
        <v>176</v>
      </c>
      <c r="B9" s="21" t="s">
        <v>67</v>
      </c>
      <c r="C9" s="17">
        <v>500</v>
      </c>
      <c r="D9" s="16"/>
      <c r="E9" s="16"/>
    </row>
    <row r="10" spans="1:5" x14ac:dyDescent="0.15">
      <c r="A10" s="21" t="s">
        <v>177</v>
      </c>
      <c r="B10" s="21" t="s">
        <v>67</v>
      </c>
      <c r="C10" s="17">
        <v>1800</v>
      </c>
      <c r="D10" s="16"/>
      <c r="E10" s="16"/>
    </row>
    <row r="11" spans="1:5" x14ac:dyDescent="0.15">
      <c r="A11" s="21" t="s">
        <v>178</v>
      </c>
      <c r="B11" s="21" t="s">
        <v>67</v>
      </c>
      <c r="C11" s="17">
        <v>1200</v>
      </c>
      <c r="D11" s="16"/>
      <c r="E11" s="16"/>
    </row>
    <row r="12" spans="1:5" x14ac:dyDescent="0.15">
      <c r="A12" s="21" t="s">
        <v>179</v>
      </c>
      <c r="B12" s="21" t="s">
        <v>67</v>
      </c>
      <c r="C12" s="17">
        <v>2100</v>
      </c>
      <c r="D12" s="16"/>
      <c r="E12" s="16"/>
    </row>
    <row r="13" spans="1:5" x14ac:dyDescent="0.15">
      <c r="A13" s="21" t="s">
        <v>180</v>
      </c>
      <c r="B13" s="21" t="s">
        <v>67</v>
      </c>
      <c r="C13" s="17">
        <v>1700</v>
      </c>
      <c r="D13" s="16"/>
      <c r="E13" s="16"/>
    </row>
    <row r="14" spans="1:5" x14ac:dyDescent="0.15">
      <c r="A14" s="21" t="s">
        <v>189</v>
      </c>
      <c r="B14" s="21" t="s">
        <v>67</v>
      </c>
      <c r="C14" s="17">
        <v>700</v>
      </c>
      <c r="D14" s="16"/>
      <c r="E14" s="16"/>
    </row>
    <row r="15" spans="1:5" x14ac:dyDescent="0.15">
      <c r="A15" s="21" t="s">
        <v>18</v>
      </c>
      <c r="B15" s="21" t="s">
        <v>19</v>
      </c>
      <c r="C15" s="30">
        <v>5000</v>
      </c>
      <c r="D15" s="16"/>
      <c r="E15" s="16"/>
    </row>
    <row r="16" spans="1:5" x14ac:dyDescent="0.15">
      <c r="A16" s="21" t="s">
        <v>22</v>
      </c>
      <c r="B16" s="21" t="s">
        <v>21</v>
      </c>
      <c r="C16" s="17">
        <v>10000</v>
      </c>
      <c r="D16" s="16"/>
      <c r="E16" s="16"/>
    </row>
    <row r="17" spans="1:9" x14ac:dyDescent="0.15">
      <c r="A17" s="21" t="s">
        <v>26</v>
      </c>
      <c r="B17" s="21" t="s">
        <v>68</v>
      </c>
      <c r="C17" s="17">
        <v>10000</v>
      </c>
      <c r="D17" s="16"/>
      <c r="E17" s="16"/>
    </row>
    <row r="18" spans="1:9" x14ac:dyDescent="0.15">
      <c r="A18" s="21" t="s">
        <v>12</v>
      </c>
      <c r="B18" s="21" t="s">
        <v>15</v>
      </c>
      <c r="C18" s="17">
        <v>2000</v>
      </c>
      <c r="D18" s="16"/>
      <c r="E18" s="16"/>
    </row>
    <row r="19" spans="1:9" x14ac:dyDescent="0.15">
      <c r="A19" s="21" t="s">
        <v>8</v>
      </c>
      <c r="B19" s="21" t="s">
        <v>11</v>
      </c>
      <c r="C19" s="17">
        <v>60000</v>
      </c>
      <c r="D19" s="16"/>
      <c r="E19" s="19"/>
    </row>
    <row r="20" spans="1:9" x14ac:dyDescent="0.15">
      <c r="A20" s="2" t="s">
        <v>63</v>
      </c>
      <c r="B20" s="21" t="s">
        <v>68</v>
      </c>
      <c r="C20" s="17">
        <v>300000</v>
      </c>
      <c r="D20" s="16"/>
      <c r="E20" s="16"/>
    </row>
    <row r="21" spans="1:9" x14ac:dyDescent="0.15">
      <c r="A21" s="21" t="s">
        <v>20</v>
      </c>
      <c r="B21" s="21" t="s">
        <v>69</v>
      </c>
      <c r="C21" s="17">
        <v>2000</v>
      </c>
      <c r="D21" s="16"/>
      <c r="E21" s="16"/>
      <c r="I21" s="81"/>
    </row>
    <row r="22" spans="1:9" x14ac:dyDescent="0.15">
      <c r="A22" s="21" t="s">
        <v>16</v>
      </c>
      <c r="B22" s="21" t="s">
        <v>17</v>
      </c>
      <c r="C22" s="17">
        <v>5000</v>
      </c>
      <c r="D22" s="16"/>
      <c r="E22" s="16"/>
      <c r="I22" s="81"/>
    </row>
    <row r="23" spans="1:9" x14ac:dyDescent="0.15">
      <c r="A23" s="21" t="s">
        <v>7</v>
      </c>
      <c r="B23" s="21" t="s">
        <v>68</v>
      </c>
      <c r="C23" s="17">
        <v>600</v>
      </c>
      <c r="D23" s="16"/>
      <c r="E23" s="16"/>
      <c r="I23" s="81"/>
    </row>
    <row r="24" spans="1:9" x14ac:dyDescent="0.15">
      <c r="A24" s="21" t="s">
        <v>24</v>
      </c>
      <c r="B24" s="21" t="s">
        <v>67</v>
      </c>
      <c r="C24" s="17">
        <v>1400</v>
      </c>
      <c r="D24" s="16"/>
      <c r="E24" s="16"/>
      <c r="I24" s="81"/>
    </row>
    <row r="25" spans="1:9" x14ac:dyDescent="0.15">
      <c r="A25" s="21" t="s">
        <v>5</v>
      </c>
      <c r="B25" s="21" t="s">
        <v>17</v>
      </c>
      <c r="C25" s="17">
        <v>4000</v>
      </c>
      <c r="D25" s="16"/>
      <c r="E25" s="16"/>
      <c r="I25" s="81"/>
    </row>
    <row r="26" spans="1:9" x14ac:dyDescent="0.15">
      <c r="A26" s="21" t="s">
        <v>80</v>
      </c>
      <c r="B26" s="21" t="s">
        <v>17</v>
      </c>
      <c r="C26" s="17">
        <v>30000</v>
      </c>
      <c r="D26" s="16"/>
      <c r="E26" s="17">
        <v>0.1</v>
      </c>
      <c r="I26" s="81"/>
    </row>
    <row r="27" spans="1:9" x14ac:dyDescent="0.15">
      <c r="A27" s="21" t="s">
        <v>81</v>
      </c>
      <c r="B27" s="21" t="s">
        <v>67</v>
      </c>
      <c r="C27" s="17">
        <v>4000</v>
      </c>
      <c r="D27" s="16"/>
      <c r="E27" s="16"/>
      <c r="I27" s="81"/>
    </row>
    <row r="28" spans="1:9" x14ac:dyDescent="0.15">
      <c r="A28" s="21" t="s">
        <v>60</v>
      </c>
      <c r="B28" s="21" t="s">
        <v>68</v>
      </c>
      <c r="C28" s="17">
        <v>30000</v>
      </c>
      <c r="D28" s="16"/>
      <c r="E28" s="30">
        <v>0.05</v>
      </c>
      <c r="I28" s="81"/>
    </row>
    <row r="29" spans="1:9" x14ac:dyDescent="0.15">
      <c r="A29" s="21" t="s">
        <v>162</v>
      </c>
      <c r="B29" s="21" t="s">
        <v>68</v>
      </c>
      <c r="C29" s="30">
        <v>100000</v>
      </c>
      <c r="D29" s="16"/>
      <c r="E29" s="17">
        <v>0.25</v>
      </c>
      <c r="I29" s="81"/>
    </row>
    <row r="30" spans="1:9" x14ac:dyDescent="0.15">
      <c r="A30" s="21" t="s">
        <v>64</v>
      </c>
      <c r="B30" s="21" t="s">
        <v>68</v>
      </c>
      <c r="C30" s="30">
        <v>50000</v>
      </c>
      <c r="D30" s="16"/>
      <c r="E30" s="16"/>
      <c r="I30" s="81"/>
    </row>
    <row r="31" spans="1:9" x14ac:dyDescent="0.15">
      <c r="A31" s="21" t="s">
        <v>65</v>
      </c>
      <c r="B31" s="21" t="s">
        <v>68</v>
      </c>
      <c r="C31" s="30">
        <v>350000</v>
      </c>
      <c r="D31" s="16"/>
      <c r="E31" s="30">
        <v>11</v>
      </c>
      <c r="I31" s="81"/>
    </row>
    <row r="32" spans="1:9" x14ac:dyDescent="0.15">
      <c r="A32" s="21" t="s">
        <v>143</v>
      </c>
      <c r="B32" s="21" t="s">
        <v>68</v>
      </c>
      <c r="C32" s="30">
        <v>9000</v>
      </c>
      <c r="D32" s="16"/>
      <c r="E32" s="16"/>
      <c r="I32" s="81"/>
    </row>
    <row r="33" spans="1:9" x14ac:dyDescent="0.15">
      <c r="A33" s="21" t="s">
        <v>144</v>
      </c>
      <c r="B33" s="21" t="s">
        <v>67</v>
      </c>
      <c r="C33" s="30">
        <v>2500</v>
      </c>
      <c r="D33" s="16"/>
      <c r="E33" s="16"/>
      <c r="I33" s="81"/>
    </row>
    <row r="34" spans="1:9" x14ac:dyDescent="0.15">
      <c r="A34" s="21" t="s">
        <v>172</v>
      </c>
      <c r="B34" s="21" t="s">
        <v>68</v>
      </c>
      <c r="C34" s="31">
        <v>40000</v>
      </c>
      <c r="D34" s="16"/>
      <c r="E34" s="17">
        <v>0.4</v>
      </c>
      <c r="I34" s="81"/>
    </row>
    <row r="35" spans="1:9" x14ac:dyDescent="0.15">
      <c r="A35" s="32" t="s">
        <v>173</v>
      </c>
      <c r="B35" s="21" t="s">
        <v>68</v>
      </c>
      <c r="C35" s="31">
        <v>80000</v>
      </c>
      <c r="D35" s="16"/>
      <c r="E35" s="17">
        <v>0.4</v>
      </c>
    </row>
    <row r="36" spans="1:9" x14ac:dyDescent="0.15">
      <c r="A36" s="21" t="s">
        <v>174</v>
      </c>
      <c r="B36" s="21" t="s">
        <v>152</v>
      </c>
      <c r="C36" s="31">
        <v>140000</v>
      </c>
      <c r="D36" s="16"/>
      <c r="E36" s="17">
        <v>0.4</v>
      </c>
    </row>
    <row r="37" spans="1:9" x14ac:dyDescent="0.15">
      <c r="A37" s="21" t="s">
        <v>153</v>
      </c>
      <c r="B37" s="21" t="s">
        <v>152</v>
      </c>
      <c r="C37" s="31" t="s">
        <v>182</v>
      </c>
      <c r="D37" s="16"/>
      <c r="E37" s="16"/>
    </row>
    <row r="38" spans="1:9" x14ac:dyDescent="0.15">
      <c r="A38" s="21" t="s">
        <v>163</v>
      </c>
      <c r="B38" s="21" t="s">
        <v>68</v>
      </c>
      <c r="C38" s="31">
        <v>50000</v>
      </c>
      <c r="D38" s="30">
        <f>2+40/1000*Indtastning!C36</f>
        <v>2</v>
      </c>
      <c r="E38" s="17">
        <v>0.05</v>
      </c>
    </row>
    <row r="39" spans="1:9" x14ac:dyDescent="0.15">
      <c r="A39" s="25"/>
      <c r="B39" s="25"/>
      <c r="C39" s="29"/>
      <c r="D39" s="28"/>
    </row>
    <row r="40" spans="1:9" x14ac:dyDescent="0.15">
      <c r="A40" s="25"/>
      <c r="B40" s="25"/>
      <c r="C40" s="29"/>
      <c r="D40" s="28"/>
    </row>
    <row r="41" spans="1:9" x14ac:dyDescent="0.15">
      <c r="A41" s="25"/>
      <c r="B41" s="25"/>
      <c r="C41" s="29"/>
      <c r="D41" s="28"/>
    </row>
    <row r="42" spans="1:9" x14ac:dyDescent="0.15">
      <c r="A42" s="25"/>
      <c r="B42" s="25"/>
      <c r="C42" s="29"/>
      <c r="D42" s="28"/>
    </row>
    <row r="43" spans="1:9" x14ac:dyDescent="0.15">
      <c r="A43" s="25"/>
      <c r="B43" s="25"/>
      <c r="C43" s="29"/>
      <c r="D43" s="28"/>
    </row>
    <row r="44" spans="1:9" x14ac:dyDescent="0.15">
      <c r="A44" s="25"/>
      <c r="B44" s="25"/>
      <c r="C44" s="29"/>
      <c r="D44" s="28"/>
    </row>
    <row r="45" spans="1:9" x14ac:dyDescent="0.15">
      <c r="A45" s="28"/>
      <c r="B45" s="28"/>
      <c r="C45" s="28"/>
      <c r="D45" s="28"/>
    </row>
    <row r="46" spans="1:9" x14ac:dyDescent="0.15">
      <c r="A46" s="28"/>
      <c r="B46" s="28"/>
      <c r="C46" s="28"/>
      <c r="D46" s="28"/>
    </row>
  </sheetData>
  <sortState ref="A2:C28">
    <sortCondition ref="A2:A28"/>
  </sortState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30" sqref="B30"/>
    </sheetView>
    <sheetView workbookViewId="1"/>
    <sheetView workbookViewId="2"/>
  </sheetViews>
  <sheetFormatPr defaultRowHeight="11.25" x14ac:dyDescent="0.15"/>
  <cols>
    <col min="1" max="1" width="14.125" customWidth="1"/>
    <col min="2" max="2" width="24.625" customWidth="1"/>
    <col min="3" max="3" width="13.25" customWidth="1"/>
  </cols>
  <sheetData>
    <row r="1" spans="1:4" x14ac:dyDescent="0.15">
      <c r="A1" s="4" t="s">
        <v>85</v>
      </c>
      <c r="B1" s="4" t="s">
        <v>82</v>
      </c>
      <c r="C1" s="4" t="s">
        <v>83</v>
      </c>
    </row>
    <row r="2" spans="1:4" x14ac:dyDescent="0.15">
      <c r="A2" s="4" t="s">
        <v>84</v>
      </c>
      <c r="B2" s="4">
        <v>45</v>
      </c>
      <c r="C2" s="4">
        <v>0.75</v>
      </c>
    </row>
    <row r="3" spans="1:4" x14ac:dyDescent="0.15">
      <c r="A3" s="4"/>
      <c r="B3" s="4">
        <v>30</v>
      </c>
      <c r="C3" s="4">
        <v>0.7</v>
      </c>
    </row>
    <row r="4" spans="1:4" x14ac:dyDescent="0.15">
      <c r="A4" s="4"/>
      <c r="B4" s="4">
        <v>20</v>
      </c>
      <c r="C4" s="4">
        <v>0.65</v>
      </c>
    </row>
    <row r="5" spans="1:4" x14ac:dyDescent="0.15">
      <c r="A5" s="4"/>
      <c r="B5" s="4">
        <v>10</v>
      </c>
      <c r="C5" s="4">
        <v>0.62</v>
      </c>
    </row>
    <row r="6" spans="1:4" x14ac:dyDescent="0.15">
      <c r="A6" s="4"/>
      <c r="B6" s="4">
        <v>0</v>
      </c>
      <c r="C6" s="4">
        <v>0.6</v>
      </c>
    </row>
    <row r="8" spans="1:4" x14ac:dyDescent="0.15">
      <c r="A8" s="4" t="s">
        <v>87</v>
      </c>
      <c r="B8" s="4"/>
      <c r="C8" s="4"/>
      <c r="D8" s="4"/>
    </row>
    <row r="9" spans="1:4" x14ac:dyDescent="0.15">
      <c r="A9" s="4"/>
      <c r="B9" s="4"/>
      <c r="C9" s="4"/>
      <c r="D9" s="4"/>
    </row>
    <row r="10" spans="1:4" x14ac:dyDescent="0.15">
      <c r="A10" s="4" t="s">
        <v>88</v>
      </c>
      <c r="B10" s="4"/>
      <c r="C10" s="4">
        <v>9</v>
      </c>
      <c r="D10" s="4" t="s">
        <v>89</v>
      </c>
    </row>
    <row r="11" spans="1:4" x14ac:dyDescent="0.15">
      <c r="A11" s="4"/>
      <c r="B11" s="4"/>
      <c r="C11" s="4"/>
      <c r="D11" s="4"/>
    </row>
    <row r="12" spans="1:4" x14ac:dyDescent="0.15">
      <c r="A12" s="4" t="s">
        <v>90</v>
      </c>
      <c r="B12" s="4" t="s">
        <v>91</v>
      </c>
      <c r="C12" s="4">
        <v>3</v>
      </c>
      <c r="D12" s="4" t="s">
        <v>89</v>
      </c>
    </row>
    <row r="13" spans="1:4" x14ac:dyDescent="0.15">
      <c r="A13" s="4"/>
      <c r="B13" s="4" t="s">
        <v>92</v>
      </c>
      <c r="C13" s="4">
        <v>6</v>
      </c>
      <c r="D13" s="4" t="s">
        <v>89</v>
      </c>
    </row>
    <row r="15" spans="1:4" x14ac:dyDescent="0.15">
      <c r="A15" s="4" t="s">
        <v>93</v>
      </c>
      <c r="B15" s="4"/>
      <c r="C15" s="4"/>
      <c r="D15" s="4"/>
    </row>
    <row r="16" spans="1:4" x14ac:dyDescent="0.15">
      <c r="A16" s="4"/>
      <c r="B16" s="4" t="s">
        <v>94</v>
      </c>
      <c r="C16" s="4">
        <v>1</v>
      </c>
      <c r="D16" s="4" t="s">
        <v>95</v>
      </c>
    </row>
    <row r="17" spans="1:4" x14ac:dyDescent="0.15">
      <c r="A17" s="4"/>
      <c r="B17" s="4" t="s">
        <v>96</v>
      </c>
      <c r="C17" s="4">
        <v>8</v>
      </c>
      <c r="D17" s="4" t="s">
        <v>95</v>
      </c>
    </row>
    <row r="18" spans="1:4" x14ac:dyDescent="0.15">
      <c r="A18" s="4"/>
      <c r="B18" s="4" t="s">
        <v>97</v>
      </c>
      <c r="C18" s="4">
        <v>1</v>
      </c>
      <c r="D18" s="4" t="s">
        <v>95</v>
      </c>
    </row>
    <row r="19" spans="1:4" x14ac:dyDescent="0.15">
      <c r="A19" s="4"/>
      <c r="B19" s="4" t="s">
        <v>98</v>
      </c>
      <c r="C19" s="4">
        <v>4</v>
      </c>
      <c r="D19" s="4" t="s">
        <v>95</v>
      </c>
    </row>
    <row r="20" spans="1:4" x14ac:dyDescent="0.15">
      <c r="A20" s="4"/>
      <c r="B20" s="4" t="s">
        <v>99</v>
      </c>
      <c r="C20" s="4">
        <v>1</v>
      </c>
      <c r="D20" s="4" t="s">
        <v>95</v>
      </c>
    </row>
    <row r="21" spans="1:4" x14ac:dyDescent="0.15">
      <c r="A21" s="4"/>
      <c r="B21" s="4" t="s">
        <v>100</v>
      </c>
      <c r="C21" s="4">
        <v>2</v>
      </c>
      <c r="D21" s="4" t="s">
        <v>95</v>
      </c>
    </row>
    <row r="23" spans="1:4" x14ac:dyDescent="0.15">
      <c r="B23" t="s">
        <v>106</v>
      </c>
    </row>
    <row r="24" spans="1:4" x14ac:dyDescent="0.15">
      <c r="B24" t="s">
        <v>107</v>
      </c>
    </row>
    <row r="25" spans="1:4" x14ac:dyDescent="0.15">
      <c r="B25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Indtastning</vt:lpstr>
      <vt:lpstr>Prisberegning</vt:lpstr>
      <vt:lpstr>Priser</vt:lpstr>
      <vt:lpstr>Indstillinger</vt:lpstr>
    </vt:vector>
  </TitlesOfParts>
  <Company>Ramboll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 Raben</dc:creator>
  <cp:lastModifiedBy>Mikkel Nielsen</cp:lastModifiedBy>
  <dcterms:created xsi:type="dcterms:W3CDTF">2014-07-16T13:04:09Z</dcterms:created>
  <dcterms:modified xsi:type="dcterms:W3CDTF">2021-04-16T08:34:26Z</dcterms:modified>
</cp:coreProperties>
</file>